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D8BB0766-2726-43B9-9EAB-C25FEA2192F0}" xr6:coauthVersionLast="47" xr6:coauthVersionMax="47" xr10:uidLastSave="{00000000-0000-0000-0000-000000000000}"/>
  <bookViews>
    <workbookView xWindow="-120" yWindow="-120" windowWidth="29040" windowHeight="15720" activeTab="3" xr2:uid="{C583238D-31BD-4C2C-B29A-2B2FE6EBBA10}"/>
  </bookViews>
  <sheets>
    <sheet name="Land Analysis" sheetId="2" r:id="rId1"/>
    <sheet name="West Res" sheetId="4" r:id="rId2"/>
    <sheet name="Fredrick" sheetId="5" r:id="rId3"/>
    <sheet name="Park St View" sheetId="1" r:id="rId4"/>
    <sheet name="Park St Back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4" l="1"/>
  <c r="S17" i="4" s="1"/>
  <c r="I17" i="4"/>
  <c r="K4" i="4"/>
  <c r="Q4" i="4" s="1"/>
  <c r="I4" i="4"/>
  <c r="K3" i="4"/>
  <c r="R3" i="4" s="1"/>
  <c r="I3" i="4"/>
  <c r="K2" i="4"/>
  <c r="R2" i="4" s="1"/>
  <c r="I2" i="4"/>
  <c r="K16" i="4"/>
  <c r="I16" i="4"/>
  <c r="I7" i="4" s="1"/>
  <c r="P4" i="3"/>
  <c r="O4" i="3"/>
  <c r="M4" i="3"/>
  <c r="L4" i="3"/>
  <c r="J4" i="3"/>
  <c r="H4" i="3"/>
  <c r="G4" i="3"/>
  <c r="D4" i="3"/>
  <c r="K3" i="3"/>
  <c r="S3" i="3" s="1"/>
  <c r="I3" i="3"/>
  <c r="I6" i="3"/>
  <c r="K2" i="3"/>
  <c r="S2" i="3" s="1"/>
  <c r="I2" i="3"/>
  <c r="P4" i="1"/>
  <c r="O4" i="1"/>
  <c r="M4" i="1"/>
  <c r="L4" i="1"/>
  <c r="J4" i="1"/>
  <c r="H4" i="1"/>
  <c r="G4" i="1"/>
  <c r="D4" i="1"/>
  <c r="K3" i="1"/>
  <c r="R3" i="1" s="1"/>
  <c r="I3" i="1"/>
  <c r="K2" i="1"/>
  <c r="Q2" i="1" s="1"/>
  <c r="I2" i="1"/>
  <c r="K16" i="1"/>
  <c r="R16" i="1" s="1"/>
  <c r="I16" i="1"/>
  <c r="I6" i="1"/>
  <c r="I2" i="2"/>
  <c r="K2" i="2"/>
  <c r="Q2" i="2" s="1"/>
  <c r="I3" i="2"/>
  <c r="K3" i="2"/>
  <c r="Q3" i="2" s="1"/>
  <c r="R3" i="2"/>
  <c r="I4" i="2"/>
  <c r="K4" i="2"/>
  <c r="Q4" i="2" s="1"/>
  <c r="I5" i="2"/>
  <c r="K5" i="2"/>
  <c r="Q5" i="2" s="1"/>
  <c r="I6" i="2"/>
  <c r="K6" i="2"/>
  <c r="S6" i="2" s="1"/>
  <c r="R6" i="2"/>
  <c r="I7" i="2"/>
  <c r="K7" i="2"/>
  <c r="Q7" i="2" s="1"/>
  <c r="I8" i="2"/>
  <c r="K8" i="2"/>
  <c r="S8" i="2" s="1"/>
  <c r="Q8" i="2"/>
  <c r="R8" i="2"/>
  <c r="I9" i="2"/>
  <c r="K9" i="2"/>
  <c r="Q9" i="2"/>
  <c r="R9" i="2"/>
  <c r="S9" i="2"/>
  <c r="I10" i="2"/>
  <c r="K10" i="2"/>
  <c r="Q10" i="2" s="1"/>
  <c r="S10" i="2"/>
  <c r="I11" i="2"/>
  <c r="K11" i="2"/>
  <c r="R11" i="2" s="1"/>
  <c r="Q11" i="2"/>
  <c r="S11" i="2"/>
  <c r="I12" i="2"/>
  <c r="K12" i="2"/>
  <c r="Q12" i="2" s="1"/>
  <c r="I13" i="2"/>
  <c r="K13" i="2"/>
  <c r="Q13" i="2" s="1"/>
  <c r="S13" i="2"/>
  <c r="D14" i="2"/>
  <c r="G14" i="2"/>
  <c r="H14" i="2"/>
  <c r="I15" i="2" s="1"/>
  <c r="J14" i="2"/>
  <c r="L14" i="2"/>
  <c r="M14" i="2"/>
  <c r="O14" i="2"/>
  <c r="P14" i="2"/>
  <c r="I16" i="2"/>
  <c r="Q17" i="4" l="1"/>
  <c r="R17" i="4"/>
  <c r="S2" i="4"/>
  <c r="R4" i="4"/>
  <c r="S4" i="4"/>
  <c r="Q16" i="4"/>
  <c r="S3" i="4"/>
  <c r="R16" i="4"/>
  <c r="Q3" i="4"/>
  <c r="S16" i="4"/>
  <c r="Q2" i="4"/>
  <c r="R3" i="3"/>
  <c r="I5" i="3"/>
  <c r="K4" i="1"/>
  <c r="S6" i="1" s="1"/>
  <c r="R2" i="1"/>
  <c r="I5" i="1"/>
  <c r="S2" i="1"/>
  <c r="K4" i="3"/>
  <c r="Q3" i="3"/>
  <c r="Q2" i="3"/>
  <c r="R2" i="3"/>
  <c r="S3" i="1"/>
  <c r="Q3" i="1"/>
  <c r="S16" i="1"/>
  <c r="Q16" i="1"/>
  <c r="R13" i="2"/>
  <c r="Q6" i="2"/>
  <c r="S3" i="2"/>
  <c r="R10" i="2"/>
  <c r="S5" i="2"/>
  <c r="S12" i="2"/>
  <c r="R5" i="2"/>
  <c r="R12" i="2"/>
  <c r="S7" i="2"/>
  <c r="K14" i="2"/>
  <c r="R7" i="2"/>
  <c r="S2" i="2"/>
  <c r="R2" i="2"/>
  <c r="S4" i="2"/>
  <c r="R4" i="2"/>
  <c r="M6" i="1" l="1"/>
  <c r="P6" i="1"/>
  <c r="S6" i="3"/>
  <c r="P6" i="3"/>
  <c r="M6" i="3"/>
  <c r="P16" i="2"/>
  <c r="S16" i="2"/>
  <c r="M16" i="2"/>
  <c r="K5" i="4"/>
  <c r="D5" i="4"/>
  <c r="G5" i="4"/>
  <c r="H5" i="4"/>
  <c r="J5" i="4"/>
  <c r="L5" i="4"/>
  <c r="M5" i="4"/>
  <c r="O5" i="4"/>
  <c r="P5" i="4"/>
  <c r="I6" i="4" l="1"/>
  <c r="S7" i="4"/>
  <c r="P7" i="4"/>
  <c r="M7" i="4"/>
</calcChain>
</file>

<file path=xl/sharedStrings.xml><?xml version="1.0" encoding="utf-8"?>
<sst xmlns="http://schemas.openxmlformats.org/spreadsheetml/2006/main" count="388" uniqueCount="107">
  <si>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</si>
  <si>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</si>
  <si>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</si>
  <si>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</si>
  <si>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</si>
  <si>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</si>
  <si>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</si>
  <si>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</si>
  <si>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</si>
  <si>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</si>
  <si>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</si>
  <si>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</si>
  <si>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</si>
  <si>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</si>
  <si>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</si>
  <si>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</si>
  <si>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</si>
  <si>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</si>
  <si>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</si>
  <si>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</si>
  <si>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</si>
  <si>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</si>
  <si>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</si>
  <si>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</si>
  <si>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</si>
  <si>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</si>
  <si>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</si>
  <si>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</si>
  <si>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</si>
  <si>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</si>
  <si>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</si>
  <si>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Rate Group 3</t>
  </si>
  <si>
    <t>Site Characteristics</t>
  </si>
  <si>
    <t>Access</t>
  </si>
  <si>
    <t>Water Supply</t>
  </si>
  <si>
    <t>Sewer</t>
  </si>
  <si>
    <t>Property Restrictions</t>
  </si>
  <si>
    <t>Restriction Notes</t>
  </si>
  <si>
    <t>Waterfont View</t>
  </si>
  <si>
    <t>Waterfront</t>
  </si>
  <si>
    <t>Waterfront Name</t>
  </si>
  <si>
    <t>Waterfront Ownership</t>
  </si>
  <si>
    <t>Waterfront Influences</t>
  </si>
  <si>
    <t>Bottom Character</t>
  </si>
  <si>
    <t>57-009-051-11</t>
  </si>
  <si>
    <t>BLISS (SW OF)</t>
  </si>
  <si>
    <t>PTA</t>
  </si>
  <si>
    <t>03-ARM'S LENGTH</t>
  </si>
  <si>
    <t>LMDG</t>
  </si>
  <si>
    <t>WEST RESIDENTIAL</t>
  </si>
  <si>
    <t>NOT INSPECTED</t>
  </si>
  <si>
    <t>001</t>
  </si>
  <si>
    <t>WEST RES</t>
  </si>
  <si>
    <t>57-009-051-14</t>
  </si>
  <si>
    <t>297 SUGAR HILL</t>
  </si>
  <si>
    <t>WD</t>
  </si>
  <si>
    <t>4900/640</t>
  </si>
  <si>
    <t>402</t>
  </si>
  <si>
    <t>57-009-051-16</t>
  </si>
  <si>
    <t>298 SUGARHILL</t>
  </si>
  <si>
    <t>4904/766</t>
  </si>
  <si>
    <t>57-009-051-17</t>
  </si>
  <si>
    <t>296 SUGARHILL</t>
  </si>
  <si>
    <t>4904/731</t>
  </si>
  <si>
    <t>57-009-072-00</t>
  </si>
  <si>
    <t>100 PARK</t>
  </si>
  <si>
    <t>19-MULTI PARCEL ARM'S LENGTH</t>
  </si>
  <si>
    <t>WRES</t>
  </si>
  <si>
    <t>4799/235</t>
  </si>
  <si>
    <t>57-009-077-00, 57-008-012-00</t>
  </si>
  <si>
    <t>401</t>
  </si>
  <si>
    <t>PARK ST BACK</t>
  </si>
  <si>
    <t>57-009-081-10</t>
  </si>
  <si>
    <t>51 PARK</t>
  </si>
  <si>
    <t>CD</t>
  </si>
  <si>
    <t>14-INTO/OUT OF TRUST</t>
  </si>
  <si>
    <t>4811/931</t>
  </si>
  <si>
    <t>PARK ST VIEW</t>
  </si>
  <si>
    <t>57-009-095-00</t>
  </si>
  <si>
    <t>5 PARK</t>
  </si>
  <si>
    <t>4900/18</t>
  </si>
  <si>
    <t>57-400-003-00</t>
  </si>
  <si>
    <t>752 MANCHESTER</t>
  </si>
  <si>
    <t>4867/272</t>
  </si>
  <si>
    <t>57-400-012-10</t>
  </si>
  <si>
    <t>781 MANCHESTER</t>
  </si>
  <si>
    <t>QC</t>
  </si>
  <si>
    <t>21-NOT USED/OTHER</t>
  </si>
  <si>
    <t>4871/365</t>
  </si>
  <si>
    <t>57-550-023-00</t>
  </si>
  <si>
    <t>416 PARK</t>
  </si>
  <si>
    <t>4903/666</t>
  </si>
  <si>
    <t>57-650-005-00</t>
  </si>
  <si>
    <t>128 VAN DALSON</t>
  </si>
  <si>
    <t>PRKAD</t>
  </si>
  <si>
    <t>4786/419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</si>
  <si>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</si>
  <si>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</si>
  <si>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</si>
  <si>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</si>
  <si>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</si>
  <si>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</si>
  <si>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</si>
  <si>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Do Not Use</t>
  </si>
  <si>
    <t>Use - $1,871/FF</t>
  </si>
  <si>
    <t>19% increase</t>
  </si>
  <si>
    <t>34%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</si>
</sst>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/>
    <xf numFmtId="14" fontId="0" fillId="0" borderId="0" xfId="0" applyNumberFormat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6" fontId="0" fillId="5" borderId="0" xfId="0" applyNumberFormat="1" applyFill="1"/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10"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82CFC-0FE5-4FF6-84DE-279398441771}">
  <dimension ref="A1:BL16"/>
  <sheetViews>
    <sheetView workbookViewId="0">
      <selection activeCell="W30" sqref="W30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  <col min="31" max="31" width="12.85546875" bestFit="1" customWidth="1"/>
    <col min="32" max="32" width="12.5703125" bestFit="1" customWidth="1"/>
    <col min="33" max="33" width="19" bestFit="1" customWidth="1"/>
    <col min="34" max="34" width="7.28515625" bestFit="1" customWidth="1"/>
    <col min="35" max="35" width="13.140625" bestFit="1" customWidth="1"/>
    <col min="36" max="36" width="6.5703125" bestFit="1" customWidth="1"/>
    <col min="37" max="37" width="20.42578125" bestFit="1" customWidth="1"/>
    <col min="38" max="38" width="17" bestFit="1" customWidth="1"/>
    <col min="39" max="39" width="15" bestFit="1" customWidth="1"/>
    <col min="40" max="40" width="10.85546875" bestFit="1" customWidth="1"/>
    <col min="41" max="41" width="16.7109375" bestFit="1" customWidth="1"/>
    <col min="42" max="42" width="21.42578125" bestFit="1" customWidth="1"/>
    <col min="43" max="43" width="21.140625" bestFit="1" customWidth="1"/>
    <col min="44" max="44" width="17" bestFit="1" customWidth="1"/>
  </cols>
  <sheetData>
    <row r="1" spans="1:64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25">
      <c r="A2" t="s">
        <v>44</v>
      </c>
      <c r="B2" t="s">
        <v>45</v>
      </c>
      <c r="C2" s="25">
        <v>45252</v>
      </c>
      <c r="D2" s="15">
        <v>200000</v>
      </c>
      <c r="E2" t="s">
        <v>46</v>
      </c>
      <c r="F2" t="s">
        <v>47</v>
      </c>
      <c r="G2" s="15">
        <v>200000</v>
      </c>
      <c r="H2" s="15">
        <v>0</v>
      </c>
      <c r="I2" s="20">
        <f t="shared" ref="I2:I13" si="0">H2/G2*100</f>
        <v>0</v>
      </c>
      <c r="J2" s="15">
        <v>673141</v>
      </c>
      <c r="K2" s="15">
        <f>G2-0</f>
        <v>200000</v>
      </c>
      <c r="L2" s="15">
        <v>673141</v>
      </c>
      <c r="M2" s="30">
        <v>439.96170799999999</v>
      </c>
      <c r="N2" s="34">
        <v>400</v>
      </c>
      <c r="O2" s="39">
        <v>7.4080000000000004</v>
      </c>
      <c r="P2" s="39">
        <v>7.4080000000000004</v>
      </c>
      <c r="Q2" s="15">
        <f t="shared" ref="Q2:Q13" si="1">K2/M2</f>
        <v>454.58501583960577</v>
      </c>
      <c r="R2" s="15">
        <f t="shared" ref="R2:R13" si="2">K2/O2</f>
        <v>26997.840172786175</v>
      </c>
      <c r="S2" s="44">
        <f t="shared" ref="S2:S13" si="3">K2/O2/43560</f>
        <v>0.61978512793356688</v>
      </c>
      <c r="T2" s="39">
        <v>475</v>
      </c>
      <c r="U2" s="5" t="s">
        <v>48</v>
      </c>
      <c r="X2" t="s">
        <v>49</v>
      </c>
      <c r="Y2">
        <v>0</v>
      </c>
      <c r="Z2">
        <v>0</v>
      </c>
      <c r="AA2" t="s">
        <v>50</v>
      </c>
      <c r="AC2" s="6" t="s">
        <v>51</v>
      </c>
      <c r="AD2" t="s">
        <v>52</v>
      </c>
      <c r="AL2" s="2"/>
      <c r="BC2" s="2"/>
      <c r="BE2" s="2"/>
    </row>
    <row r="3" spans="1:64" x14ac:dyDescent="0.25">
      <c r="A3" t="s">
        <v>53</v>
      </c>
      <c r="B3" t="s">
        <v>54</v>
      </c>
      <c r="C3" s="25">
        <v>45232</v>
      </c>
      <c r="D3" s="15">
        <v>197000</v>
      </c>
      <c r="E3" t="s">
        <v>55</v>
      </c>
      <c r="F3" t="s">
        <v>47</v>
      </c>
      <c r="G3" s="15">
        <v>197000</v>
      </c>
      <c r="H3" s="15">
        <v>94700</v>
      </c>
      <c r="I3" s="20">
        <f t="shared" si="0"/>
        <v>48.071065989847718</v>
      </c>
      <c r="J3" s="15">
        <v>189385</v>
      </c>
      <c r="K3" s="15">
        <f>G3-0</f>
        <v>197000</v>
      </c>
      <c r="L3" s="15">
        <v>189385</v>
      </c>
      <c r="M3" s="30">
        <v>123.78135399999999</v>
      </c>
      <c r="N3" s="34">
        <v>92.834297000000007</v>
      </c>
      <c r="O3" s="39">
        <v>0.52700000000000002</v>
      </c>
      <c r="P3" s="39">
        <v>0.52700000000000002</v>
      </c>
      <c r="Q3" s="15">
        <f t="shared" si="1"/>
        <v>1591.5159564339554</v>
      </c>
      <c r="R3" s="15">
        <f t="shared" si="2"/>
        <v>373814.04174573056</v>
      </c>
      <c r="S3" s="44">
        <f t="shared" si="3"/>
        <v>8.5815895717569006</v>
      </c>
      <c r="T3" s="39">
        <v>247.31</v>
      </c>
      <c r="U3" s="5" t="s">
        <v>48</v>
      </c>
      <c r="V3" t="s">
        <v>56</v>
      </c>
      <c r="X3" t="s">
        <v>49</v>
      </c>
      <c r="Y3">
        <v>0</v>
      </c>
      <c r="Z3">
        <v>0</v>
      </c>
      <c r="AA3" t="s">
        <v>50</v>
      </c>
      <c r="AC3" s="6" t="s">
        <v>57</v>
      </c>
      <c r="AD3" t="s">
        <v>52</v>
      </c>
      <c r="AE3" t="s">
        <v>52</v>
      </c>
    </row>
    <row r="4" spans="1:64" x14ac:dyDescent="0.25">
      <c r="A4" t="s">
        <v>58</v>
      </c>
      <c r="B4" t="s">
        <v>59</v>
      </c>
      <c r="C4" s="25">
        <v>45252</v>
      </c>
      <c r="D4" s="15">
        <v>227950</v>
      </c>
      <c r="E4" t="s">
        <v>55</v>
      </c>
      <c r="F4" t="s">
        <v>47</v>
      </c>
      <c r="G4" s="15">
        <v>227950</v>
      </c>
      <c r="H4" s="15">
        <v>80300</v>
      </c>
      <c r="I4" s="20">
        <f t="shared" si="0"/>
        <v>35.227023470059223</v>
      </c>
      <c r="J4" s="15">
        <v>160668</v>
      </c>
      <c r="K4" s="15">
        <f>G4-0</f>
        <v>227950</v>
      </c>
      <c r="L4" s="15">
        <v>160668</v>
      </c>
      <c r="M4" s="30">
        <v>105.01174</v>
      </c>
      <c r="N4" s="34">
        <v>189.050003</v>
      </c>
      <c r="O4" s="39">
        <v>0.54900000000000004</v>
      </c>
      <c r="P4" s="39">
        <v>0.54900000000000004</v>
      </c>
      <c r="Q4" s="15">
        <f t="shared" si="1"/>
        <v>2170.7096749372972</v>
      </c>
      <c r="R4" s="15">
        <f t="shared" si="2"/>
        <v>415209.47176684876</v>
      </c>
      <c r="S4" s="44">
        <f t="shared" si="3"/>
        <v>9.5318978826181997</v>
      </c>
      <c r="T4" s="39">
        <v>126.59</v>
      </c>
      <c r="U4" s="5" t="s">
        <v>48</v>
      </c>
      <c r="V4" t="s">
        <v>60</v>
      </c>
      <c r="X4" t="s">
        <v>49</v>
      </c>
      <c r="Y4">
        <v>0</v>
      </c>
      <c r="Z4">
        <v>0</v>
      </c>
      <c r="AA4" t="s">
        <v>50</v>
      </c>
      <c r="AC4" s="6" t="s">
        <v>57</v>
      </c>
      <c r="AD4" t="s">
        <v>52</v>
      </c>
    </row>
    <row r="5" spans="1:64" x14ac:dyDescent="0.25">
      <c r="A5" t="s">
        <v>61</v>
      </c>
      <c r="B5" t="s">
        <v>62</v>
      </c>
      <c r="C5" s="25">
        <v>45252</v>
      </c>
      <c r="D5" s="15">
        <v>200000</v>
      </c>
      <c r="E5" t="s">
        <v>55</v>
      </c>
      <c r="F5" t="s">
        <v>47</v>
      </c>
      <c r="G5" s="15">
        <v>200000</v>
      </c>
      <c r="H5" s="15">
        <v>80500</v>
      </c>
      <c r="I5" s="20">
        <f t="shared" si="0"/>
        <v>40.25</v>
      </c>
      <c r="J5" s="15">
        <v>161048</v>
      </c>
      <c r="K5" s="15">
        <f>G5-0</f>
        <v>200000</v>
      </c>
      <c r="L5" s="15">
        <v>161048</v>
      </c>
      <c r="M5" s="30">
        <v>105.260276</v>
      </c>
      <c r="N5" s="34">
        <v>177</v>
      </c>
      <c r="O5" s="39">
        <v>0.53800000000000003</v>
      </c>
      <c r="P5" s="39">
        <v>0.53800000000000003</v>
      </c>
      <c r="Q5" s="15">
        <f t="shared" si="1"/>
        <v>1900.0520196241932</v>
      </c>
      <c r="R5" s="15">
        <f t="shared" si="2"/>
        <v>371747.21189591073</v>
      </c>
      <c r="S5" s="44">
        <f t="shared" si="3"/>
        <v>8.5341416872339462</v>
      </c>
      <c r="T5" s="39">
        <v>132.30000000000001</v>
      </c>
      <c r="U5" s="5" t="s">
        <v>48</v>
      </c>
      <c r="V5" t="s">
        <v>63</v>
      </c>
      <c r="X5" t="s">
        <v>49</v>
      </c>
      <c r="Y5">
        <v>0</v>
      </c>
      <c r="Z5">
        <v>0</v>
      </c>
      <c r="AA5" t="s">
        <v>50</v>
      </c>
      <c r="AC5" s="6" t="s">
        <v>57</v>
      </c>
      <c r="AD5" t="s">
        <v>52</v>
      </c>
    </row>
    <row r="6" spans="1:64" x14ac:dyDescent="0.25">
      <c r="A6" t="s">
        <v>64</v>
      </c>
      <c r="B6" t="s">
        <v>65</v>
      </c>
      <c r="C6" s="25">
        <v>44806</v>
      </c>
      <c r="D6" s="15">
        <v>3000000</v>
      </c>
      <c r="E6" t="s">
        <v>55</v>
      </c>
      <c r="F6" t="s">
        <v>66</v>
      </c>
      <c r="G6" s="15">
        <v>3000000</v>
      </c>
      <c r="H6" s="15">
        <v>1603500</v>
      </c>
      <c r="I6" s="20">
        <f t="shared" si="0"/>
        <v>53.449999999999996</v>
      </c>
      <c r="J6" s="15">
        <v>4963830</v>
      </c>
      <c r="K6" s="15">
        <f>G6-419911</f>
        <v>2580089</v>
      </c>
      <c r="L6" s="15">
        <v>2787147</v>
      </c>
      <c r="M6" s="30">
        <v>1564.153491</v>
      </c>
      <c r="N6" s="34">
        <v>847.78216599999996</v>
      </c>
      <c r="O6" s="39">
        <v>13.215</v>
      </c>
      <c r="P6" s="39">
        <v>4.38</v>
      </c>
      <c r="Q6" s="15">
        <f t="shared" si="1"/>
        <v>1649.5113905672317</v>
      </c>
      <c r="R6" s="15">
        <f t="shared" si="2"/>
        <v>195239.42489595158</v>
      </c>
      <c r="S6" s="44">
        <f t="shared" si="3"/>
        <v>4.4820804613395682</v>
      </c>
      <c r="T6" s="39">
        <v>1656.34</v>
      </c>
      <c r="U6" s="5" t="s">
        <v>67</v>
      </c>
      <c r="V6" t="s">
        <v>68</v>
      </c>
      <c r="W6" t="s">
        <v>69</v>
      </c>
      <c r="X6" t="s">
        <v>49</v>
      </c>
      <c r="Y6">
        <v>0</v>
      </c>
      <c r="Z6">
        <v>0</v>
      </c>
      <c r="AA6" t="s">
        <v>50</v>
      </c>
      <c r="AC6" s="6" t="s">
        <v>70</v>
      </c>
      <c r="AD6" t="s">
        <v>71</v>
      </c>
    </row>
    <row r="7" spans="1:64" x14ac:dyDescent="0.25">
      <c r="A7" t="s">
        <v>72</v>
      </c>
      <c r="B7" t="s">
        <v>73</v>
      </c>
      <c r="C7" s="25">
        <v>44823</v>
      </c>
      <c r="D7" s="15">
        <v>0</v>
      </c>
      <c r="E7" t="s">
        <v>74</v>
      </c>
      <c r="F7" t="s">
        <v>75</v>
      </c>
      <c r="G7" s="15">
        <v>0</v>
      </c>
      <c r="H7" s="15">
        <v>402000</v>
      </c>
      <c r="I7" s="20" t="e">
        <f t="shared" si="0"/>
        <v>#DIV/0!</v>
      </c>
      <c r="J7" s="15">
        <v>804069</v>
      </c>
      <c r="K7" s="15">
        <f>G7-370626</f>
        <v>-370626</v>
      </c>
      <c r="L7" s="15">
        <v>433443</v>
      </c>
      <c r="M7" s="30">
        <v>134.81905499999999</v>
      </c>
      <c r="N7" s="34">
        <v>156.33999600000001</v>
      </c>
      <c r="O7" s="39">
        <v>0.52</v>
      </c>
      <c r="P7" s="39">
        <v>0.52</v>
      </c>
      <c r="Q7" s="15">
        <f t="shared" si="1"/>
        <v>-2749.0624377985741</v>
      </c>
      <c r="R7" s="15">
        <f t="shared" si="2"/>
        <v>-712742.30769230763</v>
      </c>
      <c r="S7" s="44">
        <f t="shared" si="3"/>
        <v>-16.362311930493746</v>
      </c>
      <c r="T7" s="39">
        <v>145</v>
      </c>
      <c r="U7" s="5" t="s">
        <v>67</v>
      </c>
      <c r="V7" t="s">
        <v>76</v>
      </c>
      <c r="X7" t="s">
        <v>49</v>
      </c>
      <c r="Y7">
        <v>0</v>
      </c>
      <c r="Z7">
        <v>0</v>
      </c>
      <c r="AA7" s="7">
        <v>40297</v>
      </c>
      <c r="AC7" s="6" t="s">
        <v>70</v>
      </c>
      <c r="AD7" t="s">
        <v>77</v>
      </c>
    </row>
    <row r="8" spans="1:64" x14ac:dyDescent="0.25">
      <c r="A8" t="s">
        <v>78</v>
      </c>
      <c r="B8" t="s">
        <v>79</v>
      </c>
      <c r="C8" s="25">
        <v>45219</v>
      </c>
      <c r="D8" s="15">
        <v>1700000</v>
      </c>
      <c r="E8" t="s">
        <v>55</v>
      </c>
      <c r="F8" t="s">
        <v>47</v>
      </c>
      <c r="G8" s="15">
        <v>1700000</v>
      </c>
      <c r="H8" s="15">
        <v>768000</v>
      </c>
      <c r="I8" s="20">
        <f t="shared" si="0"/>
        <v>45.176470588235297</v>
      </c>
      <c r="J8" s="15">
        <v>1535930</v>
      </c>
      <c r="K8" s="15">
        <f>G8-1250317</f>
        <v>449683</v>
      </c>
      <c r="L8" s="15">
        <v>285613</v>
      </c>
      <c r="M8" s="30">
        <v>88.837695999999994</v>
      </c>
      <c r="N8" s="34">
        <v>248.33332799999999</v>
      </c>
      <c r="O8" s="39">
        <v>0.42599999999999999</v>
      </c>
      <c r="P8" s="39">
        <v>0.42599999999999999</v>
      </c>
      <c r="Q8" s="15">
        <f t="shared" si="1"/>
        <v>5061.848970058837</v>
      </c>
      <c r="R8" s="15">
        <f t="shared" si="2"/>
        <v>1055593.8967136152</v>
      </c>
      <c r="S8" s="44">
        <f t="shared" si="3"/>
        <v>24.233101393792818</v>
      </c>
      <c r="T8" s="39">
        <v>66</v>
      </c>
      <c r="U8" s="5" t="s">
        <v>67</v>
      </c>
      <c r="V8" t="s">
        <v>80</v>
      </c>
      <c r="X8" t="s">
        <v>49</v>
      </c>
      <c r="Y8">
        <v>0</v>
      </c>
      <c r="Z8">
        <v>1</v>
      </c>
      <c r="AA8" s="7">
        <v>43811</v>
      </c>
      <c r="AC8" s="6" t="s">
        <v>70</v>
      </c>
      <c r="AD8" t="s">
        <v>77</v>
      </c>
      <c r="AE8" t="s">
        <v>77</v>
      </c>
    </row>
    <row r="9" spans="1:64" x14ac:dyDescent="0.25">
      <c r="A9" t="s">
        <v>81</v>
      </c>
      <c r="B9" t="s">
        <v>82</v>
      </c>
      <c r="C9" s="25">
        <v>44810</v>
      </c>
      <c r="D9" s="15">
        <v>0</v>
      </c>
      <c r="E9" t="s">
        <v>46</v>
      </c>
      <c r="G9" s="15">
        <v>0</v>
      </c>
      <c r="H9" s="15">
        <v>133500</v>
      </c>
      <c r="I9" s="20" t="e">
        <f t="shared" si="0"/>
        <v>#DIV/0!</v>
      </c>
      <c r="J9" s="15">
        <v>266957</v>
      </c>
      <c r="K9" s="15">
        <f>G9-0</f>
        <v>0</v>
      </c>
      <c r="L9" s="15">
        <v>266957</v>
      </c>
      <c r="M9" s="30">
        <v>174.48200600000001</v>
      </c>
      <c r="N9" s="34">
        <v>165</v>
      </c>
      <c r="O9" s="39">
        <v>0.98499999999999999</v>
      </c>
      <c r="P9" s="39">
        <v>0.98499999999999999</v>
      </c>
      <c r="Q9" s="15">
        <f t="shared" si="1"/>
        <v>0</v>
      </c>
      <c r="R9" s="15">
        <f t="shared" si="2"/>
        <v>0</v>
      </c>
      <c r="S9" s="44">
        <f t="shared" si="3"/>
        <v>0</v>
      </c>
      <c r="T9" s="39">
        <v>260</v>
      </c>
      <c r="U9" s="5" t="s">
        <v>67</v>
      </c>
      <c r="X9" t="s">
        <v>49</v>
      </c>
      <c r="Y9">
        <v>0</v>
      </c>
      <c r="Z9">
        <v>0</v>
      </c>
      <c r="AA9" s="7">
        <v>45245</v>
      </c>
      <c r="AC9" s="6" t="s">
        <v>57</v>
      </c>
      <c r="AD9" t="s">
        <v>52</v>
      </c>
    </row>
    <row r="10" spans="1:64" x14ac:dyDescent="0.25">
      <c r="A10" t="s">
        <v>81</v>
      </c>
      <c r="B10" t="s">
        <v>82</v>
      </c>
      <c r="C10" s="25">
        <v>45099</v>
      </c>
      <c r="D10" s="15">
        <v>700000</v>
      </c>
      <c r="E10" t="s">
        <v>55</v>
      </c>
      <c r="F10" t="s">
        <v>47</v>
      </c>
      <c r="G10" s="15">
        <v>700000</v>
      </c>
      <c r="H10" s="15">
        <v>133500</v>
      </c>
      <c r="I10" s="20">
        <f t="shared" si="0"/>
        <v>19.071428571428573</v>
      </c>
      <c r="J10" s="15">
        <v>266957</v>
      </c>
      <c r="K10" s="15">
        <f>G10-0</f>
        <v>700000</v>
      </c>
      <c r="L10" s="15">
        <v>266957</v>
      </c>
      <c r="M10" s="30">
        <v>174.48200600000001</v>
      </c>
      <c r="N10" s="34">
        <v>165</v>
      </c>
      <c r="O10" s="39">
        <v>0.98499999999999999</v>
      </c>
      <c r="P10" s="39">
        <v>0.98499999999999999</v>
      </c>
      <c r="Q10" s="15">
        <f t="shared" si="1"/>
        <v>4011.8750124869607</v>
      </c>
      <c r="R10" s="15">
        <f t="shared" si="2"/>
        <v>710659.89847715735</v>
      </c>
      <c r="S10" s="44">
        <f t="shared" si="3"/>
        <v>16.314506392955863</v>
      </c>
      <c r="T10" s="39">
        <v>260</v>
      </c>
      <c r="U10" s="5" t="s">
        <v>67</v>
      </c>
      <c r="V10" t="s">
        <v>83</v>
      </c>
      <c r="X10" t="s">
        <v>49</v>
      </c>
      <c r="Y10">
        <v>0</v>
      </c>
      <c r="Z10">
        <v>0</v>
      </c>
      <c r="AA10" s="7">
        <v>45245</v>
      </c>
      <c r="AC10" s="6" t="s">
        <v>57</v>
      </c>
      <c r="AD10" t="s">
        <v>52</v>
      </c>
    </row>
    <row r="11" spans="1:64" x14ac:dyDescent="0.25">
      <c r="A11" t="s">
        <v>84</v>
      </c>
      <c r="B11" t="s">
        <v>85</v>
      </c>
      <c r="C11" s="25">
        <v>45096</v>
      </c>
      <c r="D11" s="15">
        <v>0</v>
      </c>
      <c r="E11" t="s">
        <v>86</v>
      </c>
      <c r="F11" t="s">
        <v>87</v>
      </c>
      <c r="G11" s="15">
        <v>0</v>
      </c>
      <c r="H11" s="15">
        <v>341400</v>
      </c>
      <c r="I11" s="20" t="e">
        <f t="shared" si="0"/>
        <v>#DIV/0!</v>
      </c>
      <c r="J11" s="15">
        <v>682861</v>
      </c>
      <c r="K11" s="15">
        <f>G11-552238</f>
        <v>-552238</v>
      </c>
      <c r="L11" s="15">
        <v>130623</v>
      </c>
      <c r="M11" s="30">
        <v>85.374610000000004</v>
      </c>
      <c r="N11" s="34">
        <v>166</v>
      </c>
      <c r="O11" s="39">
        <v>0.40400000000000003</v>
      </c>
      <c r="P11" s="39">
        <v>0.40400000000000003</v>
      </c>
      <c r="Q11" s="15">
        <f t="shared" si="1"/>
        <v>-6468.4102217275131</v>
      </c>
      <c r="R11" s="15">
        <f t="shared" si="2"/>
        <v>-1366925.7425742573</v>
      </c>
      <c r="S11" s="44">
        <f t="shared" si="3"/>
        <v>-31.380297120621151</v>
      </c>
      <c r="T11" s="39">
        <v>106</v>
      </c>
      <c r="U11" s="5" t="s">
        <v>67</v>
      </c>
      <c r="V11" t="s">
        <v>88</v>
      </c>
      <c r="X11" t="s">
        <v>49</v>
      </c>
      <c r="Y11">
        <v>0</v>
      </c>
      <c r="Z11">
        <v>1</v>
      </c>
      <c r="AA11" s="7">
        <v>39381</v>
      </c>
      <c r="AC11" s="6" t="s">
        <v>70</v>
      </c>
      <c r="AD11" t="s">
        <v>52</v>
      </c>
    </row>
    <row r="12" spans="1:64" x14ac:dyDescent="0.25">
      <c r="A12" t="s">
        <v>89</v>
      </c>
      <c r="B12" t="s">
        <v>90</v>
      </c>
      <c r="C12" s="25">
        <v>45231</v>
      </c>
      <c r="D12" s="15">
        <v>650000</v>
      </c>
      <c r="E12" t="s">
        <v>55</v>
      </c>
      <c r="F12" t="s">
        <v>47</v>
      </c>
      <c r="G12" s="15">
        <v>650000</v>
      </c>
      <c r="H12" s="15">
        <v>277800</v>
      </c>
      <c r="I12" s="20">
        <f t="shared" si="0"/>
        <v>42.738461538461536</v>
      </c>
      <c r="J12" s="15">
        <v>555643</v>
      </c>
      <c r="K12" s="15">
        <f>G12-337193</f>
        <v>312807</v>
      </c>
      <c r="L12" s="15">
        <v>218450</v>
      </c>
      <c r="M12" s="30">
        <v>67.947029999999998</v>
      </c>
      <c r="N12" s="34">
        <v>106</v>
      </c>
      <c r="O12" s="39">
        <v>0.191</v>
      </c>
      <c r="P12" s="39">
        <v>0.191</v>
      </c>
      <c r="Q12" s="15">
        <f t="shared" si="1"/>
        <v>4603.6890795668332</v>
      </c>
      <c r="R12" s="15">
        <f t="shared" si="2"/>
        <v>1637732.9842931938</v>
      </c>
      <c r="S12" s="44">
        <f t="shared" si="3"/>
        <v>37.59717594796129</v>
      </c>
      <c r="T12" s="39">
        <v>78.5</v>
      </c>
      <c r="U12" s="5" t="s">
        <v>67</v>
      </c>
      <c r="V12" t="s">
        <v>91</v>
      </c>
      <c r="X12" t="s">
        <v>49</v>
      </c>
      <c r="Y12">
        <v>0</v>
      </c>
      <c r="Z12">
        <v>0</v>
      </c>
      <c r="AA12" s="7">
        <v>39668</v>
      </c>
      <c r="AC12" s="6" t="s">
        <v>70</v>
      </c>
      <c r="AD12" t="s">
        <v>77</v>
      </c>
    </row>
    <row r="13" spans="1:64" ht="15.75" thickBot="1" x14ac:dyDescent="0.3">
      <c r="A13" t="s">
        <v>92</v>
      </c>
      <c r="B13" t="s">
        <v>93</v>
      </c>
      <c r="C13" s="25">
        <v>44757</v>
      </c>
      <c r="D13" s="15">
        <v>1050000</v>
      </c>
      <c r="E13" t="s">
        <v>55</v>
      </c>
      <c r="F13" t="s">
        <v>47</v>
      </c>
      <c r="G13" s="15">
        <v>1050000</v>
      </c>
      <c r="H13" s="15">
        <v>523700</v>
      </c>
      <c r="I13" s="20">
        <f t="shared" si="0"/>
        <v>49.876190476190473</v>
      </c>
      <c r="J13" s="15">
        <v>1047491</v>
      </c>
      <c r="K13" s="15">
        <f>G13-952286</f>
        <v>97714</v>
      </c>
      <c r="L13" s="15">
        <v>95205</v>
      </c>
      <c r="M13" s="30">
        <v>46.669047999999997</v>
      </c>
      <c r="N13" s="34">
        <v>66</v>
      </c>
      <c r="O13" s="39">
        <v>0.1</v>
      </c>
      <c r="P13" s="39">
        <v>0.1</v>
      </c>
      <c r="Q13" s="15">
        <f t="shared" si="1"/>
        <v>2093.7645867556589</v>
      </c>
      <c r="R13" s="15">
        <f t="shared" si="2"/>
        <v>977140</v>
      </c>
      <c r="S13" s="44">
        <f t="shared" si="3"/>
        <v>22.432047750229568</v>
      </c>
      <c r="T13" s="39">
        <v>66</v>
      </c>
      <c r="U13" s="5" t="s">
        <v>94</v>
      </c>
      <c r="V13" t="s">
        <v>95</v>
      </c>
      <c r="X13" t="s">
        <v>49</v>
      </c>
      <c r="Y13">
        <v>1</v>
      </c>
      <c r="Z13">
        <v>0</v>
      </c>
      <c r="AA13" s="7">
        <v>45245</v>
      </c>
      <c r="AC13" s="6" t="s">
        <v>70</v>
      </c>
      <c r="AD13" t="s">
        <v>71</v>
      </c>
    </row>
    <row r="14" spans="1:64" ht="15.75" thickTop="1" x14ac:dyDescent="0.25">
      <c r="A14" s="8"/>
      <c r="B14" s="8"/>
      <c r="C14" s="26" t="s">
        <v>96</v>
      </c>
      <c r="D14" s="16">
        <f>+SUM(D2:D13)</f>
        <v>7924950</v>
      </c>
      <c r="E14" s="8"/>
      <c r="F14" s="8"/>
      <c r="G14" s="16">
        <f>+SUM(G2:G13)</f>
        <v>7924950</v>
      </c>
      <c r="H14" s="16">
        <f>+SUM(H2:H13)</f>
        <v>4438900</v>
      </c>
      <c r="I14" s="21"/>
      <c r="J14" s="16">
        <f>+SUM(J2:J13)</f>
        <v>11307980</v>
      </c>
      <c r="K14" s="16">
        <f>+SUM(K2:K13)</f>
        <v>4042379</v>
      </c>
      <c r="L14" s="16">
        <f>+SUM(L2:L13)</f>
        <v>5668637</v>
      </c>
      <c r="M14" s="31">
        <f>+SUM(M2:M13)</f>
        <v>3110.7800200000001</v>
      </c>
      <c r="N14" s="35"/>
      <c r="O14" s="40">
        <f>+SUM(O2:O13)</f>
        <v>25.847999999999999</v>
      </c>
      <c r="P14" s="40">
        <f>+SUM(P2:P13)</f>
        <v>17.013000000000002</v>
      </c>
      <c r="Q14" s="16"/>
      <c r="R14" s="16"/>
      <c r="S14" s="45"/>
      <c r="T14" s="40"/>
      <c r="U14" s="9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64" x14ac:dyDescent="0.25">
      <c r="A15" s="10"/>
      <c r="B15" s="10"/>
      <c r="C15" s="27"/>
      <c r="D15" s="17"/>
      <c r="E15" s="10"/>
      <c r="F15" s="10"/>
      <c r="G15" s="17"/>
      <c r="H15" s="17" t="s">
        <v>97</v>
      </c>
      <c r="I15" s="22">
        <f>H14/G14*100</f>
        <v>56.01170985305901</v>
      </c>
      <c r="J15" s="17"/>
      <c r="K15" s="17"/>
      <c r="L15" s="17" t="s">
        <v>98</v>
      </c>
      <c r="M15" s="32"/>
      <c r="N15" s="36"/>
      <c r="O15" s="41" t="s">
        <v>98</v>
      </c>
      <c r="P15" s="41"/>
      <c r="Q15" s="17"/>
      <c r="R15" s="17" t="s">
        <v>98</v>
      </c>
      <c r="S15" s="46"/>
      <c r="T15" s="41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64" x14ac:dyDescent="0.25">
      <c r="A16" s="12"/>
      <c r="B16" s="12"/>
      <c r="C16" s="28"/>
      <c r="D16" s="18"/>
      <c r="E16" s="12"/>
      <c r="F16" s="12"/>
      <c r="G16" s="18"/>
      <c r="H16" s="18" t="s">
        <v>99</v>
      </c>
      <c r="I16" s="23" t="e">
        <f>STDEV(I2:I13)</f>
        <v>#DIV/0!</v>
      </c>
      <c r="J16" s="18"/>
      <c r="K16" s="18"/>
      <c r="L16" s="18" t="s">
        <v>100</v>
      </c>
      <c r="M16" s="48">
        <f>K14/M14</f>
        <v>1299.4743999930924</v>
      </c>
      <c r="N16" s="37"/>
      <c r="O16" s="42" t="s">
        <v>101</v>
      </c>
      <c r="P16" s="42">
        <f>K14/O14</f>
        <v>156390.39770968742</v>
      </c>
      <c r="Q16" s="18"/>
      <c r="R16" s="18" t="s">
        <v>102</v>
      </c>
      <c r="S16" s="47">
        <f>K14/O14/43560</f>
        <v>3.5902295158330446</v>
      </c>
      <c r="T16" s="42"/>
      <c r="U16" s="13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</row>
  </sheetData>
  <conditionalFormatting sqref="A2:AR13">
    <cfRule type="expression" dxfId="9" priority="1" stopIfTrue="1">
      <formula>MOD(ROW(),4)&gt;1</formula>
    </cfRule>
    <cfRule type="expression" dxfId="8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6965-93CF-4902-ABB4-59FABD6E6CB8}">
  <sheetPr>
    <tabColor rgb="FFFFFF00"/>
  </sheetPr>
  <dimension ref="A1:AY17"/>
  <sheetViews>
    <sheetView workbookViewId="0">
      <selection activeCell="M11" sqref="M11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  <col min="31" max="31" width="12.85546875" bestFit="1" customWidth="1"/>
  </cols>
  <sheetData>
    <row r="1" spans="1:51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x14ac:dyDescent="0.25">
      <c r="A2" t="s">
        <v>53</v>
      </c>
      <c r="B2" t="s">
        <v>54</v>
      </c>
      <c r="C2" s="25">
        <v>45232</v>
      </c>
      <c r="D2" s="15">
        <v>197000</v>
      </c>
      <c r="E2" t="s">
        <v>55</v>
      </c>
      <c r="F2" t="s">
        <v>47</v>
      </c>
      <c r="G2" s="15">
        <v>197000</v>
      </c>
      <c r="H2" s="15">
        <v>94700</v>
      </c>
      <c r="I2" s="20">
        <f t="shared" ref="I2:I4" si="0">H2/G2*100</f>
        <v>48.071065989847718</v>
      </c>
      <c r="J2" s="15">
        <v>189385</v>
      </c>
      <c r="K2" s="15">
        <f>G2-0</f>
        <v>197000</v>
      </c>
      <c r="L2" s="15">
        <v>189385</v>
      </c>
      <c r="M2" s="30">
        <v>123.78135399999999</v>
      </c>
      <c r="N2" s="34">
        <v>92.834297000000007</v>
      </c>
      <c r="O2" s="39">
        <v>0.52700000000000002</v>
      </c>
      <c r="P2" s="39">
        <v>0.52700000000000002</v>
      </c>
      <c r="Q2" s="15">
        <f t="shared" ref="Q2:Q4" si="1">K2/M2</f>
        <v>1591.5159564339554</v>
      </c>
      <c r="R2" s="15">
        <f t="shared" ref="R2:R4" si="2">K2/O2</f>
        <v>373814.04174573056</v>
      </c>
      <c r="S2" s="44">
        <f t="shared" ref="S2:S4" si="3">K2/O2/43560</f>
        <v>8.5815895717569006</v>
      </c>
      <c r="T2" s="39">
        <v>247.31</v>
      </c>
      <c r="U2" s="5" t="s">
        <v>48</v>
      </c>
      <c r="V2" t="s">
        <v>56</v>
      </c>
      <c r="X2" t="s">
        <v>49</v>
      </c>
      <c r="Y2">
        <v>0</v>
      </c>
      <c r="Z2">
        <v>0</v>
      </c>
      <c r="AA2" t="s">
        <v>50</v>
      </c>
      <c r="AC2" s="6" t="s">
        <v>57</v>
      </c>
      <c r="AD2" t="s">
        <v>52</v>
      </c>
      <c r="AE2" t="s">
        <v>52</v>
      </c>
    </row>
    <row r="3" spans="1:51" x14ac:dyDescent="0.25">
      <c r="A3" t="s">
        <v>58</v>
      </c>
      <c r="B3" t="s">
        <v>59</v>
      </c>
      <c r="C3" s="25">
        <v>45252</v>
      </c>
      <c r="D3" s="15">
        <v>227950</v>
      </c>
      <c r="E3" t="s">
        <v>55</v>
      </c>
      <c r="F3" t="s">
        <v>47</v>
      </c>
      <c r="G3" s="15">
        <v>227950</v>
      </c>
      <c r="H3" s="15">
        <v>80300</v>
      </c>
      <c r="I3" s="20">
        <f t="shared" si="0"/>
        <v>35.227023470059223</v>
      </c>
      <c r="J3" s="15">
        <v>160668</v>
      </c>
      <c r="K3" s="15">
        <f>G3-0</f>
        <v>227950</v>
      </c>
      <c r="L3" s="15">
        <v>160668</v>
      </c>
      <c r="M3" s="30">
        <v>105.01174</v>
      </c>
      <c r="N3" s="34">
        <v>189.050003</v>
      </c>
      <c r="O3" s="39">
        <v>0.54900000000000004</v>
      </c>
      <c r="P3" s="39">
        <v>0.54900000000000004</v>
      </c>
      <c r="Q3" s="15">
        <f t="shared" si="1"/>
        <v>2170.7096749372972</v>
      </c>
      <c r="R3" s="15">
        <f t="shared" si="2"/>
        <v>415209.47176684876</v>
      </c>
      <c r="S3" s="44">
        <f t="shared" si="3"/>
        <v>9.5318978826181997</v>
      </c>
      <c r="T3" s="39">
        <v>126.59</v>
      </c>
      <c r="U3" s="5" t="s">
        <v>48</v>
      </c>
      <c r="V3" t="s">
        <v>60</v>
      </c>
      <c r="X3" t="s">
        <v>49</v>
      </c>
      <c r="Y3">
        <v>0</v>
      </c>
      <c r="Z3">
        <v>0</v>
      </c>
      <c r="AA3" t="s">
        <v>50</v>
      </c>
      <c r="AC3" s="6" t="s">
        <v>57</v>
      </c>
      <c r="AD3" t="s">
        <v>52</v>
      </c>
    </row>
    <row r="4" spans="1:51" ht="15.75" thickBot="1" x14ac:dyDescent="0.3">
      <c r="A4" t="s">
        <v>61</v>
      </c>
      <c r="B4" t="s">
        <v>62</v>
      </c>
      <c r="C4" s="25">
        <v>45252</v>
      </c>
      <c r="D4" s="15">
        <v>200000</v>
      </c>
      <c r="E4" t="s">
        <v>55</v>
      </c>
      <c r="F4" t="s">
        <v>47</v>
      </c>
      <c r="G4" s="15">
        <v>200000</v>
      </c>
      <c r="H4" s="15">
        <v>80500</v>
      </c>
      <c r="I4" s="20">
        <f t="shared" si="0"/>
        <v>40.25</v>
      </c>
      <c r="J4" s="15">
        <v>161048</v>
      </c>
      <c r="K4" s="15">
        <f>G4-0</f>
        <v>200000</v>
      </c>
      <c r="L4" s="15">
        <v>161048</v>
      </c>
      <c r="M4" s="30">
        <v>105.260276</v>
      </c>
      <c r="N4" s="34">
        <v>177</v>
      </c>
      <c r="O4" s="39">
        <v>0.53800000000000003</v>
      </c>
      <c r="P4" s="39">
        <v>0.53800000000000003</v>
      </c>
      <c r="Q4" s="15">
        <f t="shared" si="1"/>
        <v>1900.0520196241932</v>
      </c>
      <c r="R4" s="15">
        <f t="shared" si="2"/>
        <v>371747.21189591073</v>
      </c>
      <c r="S4" s="44">
        <f t="shared" si="3"/>
        <v>8.5341416872339462</v>
      </c>
      <c r="T4" s="39">
        <v>132.30000000000001</v>
      </c>
      <c r="U4" s="5" t="s">
        <v>48</v>
      </c>
      <c r="V4" t="s">
        <v>63</v>
      </c>
      <c r="X4" t="s">
        <v>49</v>
      </c>
      <c r="Y4">
        <v>0</v>
      </c>
      <c r="Z4">
        <v>0</v>
      </c>
      <c r="AA4" t="s">
        <v>50</v>
      </c>
      <c r="AC4" s="6" t="s">
        <v>57</v>
      </c>
      <c r="AD4" t="s">
        <v>52</v>
      </c>
    </row>
    <row r="5" spans="1:51" ht="15.75" thickTop="1" x14ac:dyDescent="0.25">
      <c r="A5" s="8"/>
      <c r="B5" s="8"/>
      <c r="C5" s="26" t="s">
        <v>96</v>
      </c>
      <c r="D5" s="16">
        <f>+SUM(D2:D4)</f>
        <v>624950</v>
      </c>
      <c r="E5" s="8"/>
      <c r="F5" s="8"/>
      <c r="G5" s="16">
        <f>+SUM(G2:G4)</f>
        <v>624950</v>
      </c>
      <c r="H5" s="16">
        <f>+SUM(H2:H4)</f>
        <v>255500</v>
      </c>
      <c r="I5" s="21"/>
      <c r="J5" s="16">
        <f>+SUM(J2:J4)</f>
        <v>511101</v>
      </c>
      <c r="K5" s="16">
        <f>+SUM(K2:K4)</f>
        <v>624950</v>
      </c>
      <c r="L5" s="16">
        <f>+SUM(L2:L4)</f>
        <v>511101</v>
      </c>
      <c r="M5" s="31">
        <f>+SUM(M2:M4)</f>
        <v>334.05336999999997</v>
      </c>
      <c r="N5" s="35"/>
      <c r="O5" s="40">
        <f>+SUM(O2:O4)</f>
        <v>1.6140000000000001</v>
      </c>
      <c r="P5" s="40">
        <f>+SUM(P2:P4)</f>
        <v>1.6140000000000001</v>
      </c>
      <c r="Q5" s="16"/>
      <c r="R5" s="16"/>
      <c r="S5" s="45"/>
      <c r="T5" s="40"/>
      <c r="U5" s="9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51" x14ac:dyDescent="0.25">
      <c r="A6" s="10"/>
      <c r="B6" s="10"/>
      <c r="C6" s="27"/>
      <c r="D6" s="17"/>
      <c r="E6" s="10"/>
      <c r="F6" s="10"/>
      <c r="G6" s="17"/>
      <c r="H6" s="17" t="s">
        <v>97</v>
      </c>
      <c r="I6" s="22">
        <f>H5/G5*100</f>
        <v>40.883270661652929</v>
      </c>
      <c r="J6" s="17"/>
      <c r="K6" s="17"/>
      <c r="L6" s="17" t="s">
        <v>98</v>
      </c>
      <c r="M6" s="32"/>
      <c r="N6" s="36"/>
      <c r="O6" s="41" t="s">
        <v>98</v>
      </c>
      <c r="P6" s="41"/>
      <c r="Q6" s="17"/>
      <c r="R6" s="17" t="s">
        <v>98</v>
      </c>
      <c r="S6" s="46"/>
      <c r="T6" s="41"/>
      <c r="U6" s="11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51" x14ac:dyDescent="0.25">
      <c r="A7" s="12"/>
      <c r="B7" s="12"/>
      <c r="C7" s="28"/>
      <c r="D7" s="18"/>
      <c r="E7" s="12"/>
      <c r="F7" s="12"/>
      <c r="G7" s="18"/>
      <c r="H7" s="18" t="s">
        <v>99</v>
      </c>
      <c r="I7" s="23">
        <f>STDEV(I2:I4)</f>
        <v>6.4726191850494805</v>
      </c>
      <c r="J7" s="18"/>
      <c r="K7" s="18"/>
      <c r="L7" s="18" t="s">
        <v>100</v>
      </c>
      <c r="M7" s="48">
        <f>K5/M5</f>
        <v>1870.8088471012882</v>
      </c>
      <c r="N7" s="37"/>
      <c r="O7" s="42" t="s">
        <v>101</v>
      </c>
      <c r="P7" s="42">
        <f>K5/O5</f>
        <v>387205.70012391574</v>
      </c>
      <c r="Q7" s="18"/>
      <c r="R7" s="18" t="s">
        <v>102</v>
      </c>
      <c r="S7" s="47">
        <f>K5/O5/43560</f>
        <v>8.8890197457280937</v>
      </c>
      <c r="T7" s="42"/>
      <c r="U7" s="13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11" spans="1:51" x14ac:dyDescent="0.25">
      <c r="I11" s="20">
        <v>1530</v>
      </c>
      <c r="J11" s="49" t="s">
        <v>104</v>
      </c>
      <c r="K11" s="15" t="s">
        <v>105</v>
      </c>
    </row>
    <row r="15" spans="1:51" x14ac:dyDescent="0.25">
      <c r="A15" s="50" t="s">
        <v>103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51" x14ac:dyDescent="0.25">
      <c r="A16" t="s">
        <v>44</v>
      </c>
      <c r="B16" t="s">
        <v>45</v>
      </c>
      <c r="C16" s="25">
        <v>45252</v>
      </c>
      <c r="D16" s="15">
        <v>200000</v>
      </c>
      <c r="E16" t="s">
        <v>46</v>
      </c>
      <c r="F16" t="s">
        <v>47</v>
      </c>
      <c r="G16" s="15">
        <v>200000</v>
      </c>
      <c r="H16" s="15">
        <v>0</v>
      </c>
      <c r="I16" s="20">
        <f>H16/G16*100</f>
        <v>0</v>
      </c>
      <c r="J16" s="15">
        <v>673141</v>
      </c>
      <c r="K16" s="15">
        <f>G16-0</f>
        <v>200000</v>
      </c>
      <c r="L16" s="15">
        <v>673141</v>
      </c>
      <c r="M16" s="30">
        <v>439.96170799999999</v>
      </c>
      <c r="N16" s="34">
        <v>400</v>
      </c>
      <c r="O16" s="39">
        <v>7.4080000000000004</v>
      </c>
      <c r="P16" s="39">
        <v>7.4080000000000004</v>
      </c>
      <c r="Q16" s="15">
        <f>K16/M16</f>
        <v>454.58501583960577</v>
      </c>
      <c r="R16" s="15">
        <f>K16/O16</f>
        <v>26997.840172786175</v>
      </c>
      <c r="S16" s="44">
        <f>K16/O16/43560</f>
        <v>0.61978512793356688</v>
      </c>
      <c r="T16" s="39">
        <v>475</v>
      </c>
      <c r="U16" s="5" t="s">
        <v>48</v>
      </c>
      <c r="X16" t="s">
        <v>49</v>
      </c>
      <c r="Y16">
        <v>0</v>
      </c>
      <c r="Z16">
        <v>0</v>
      </c>
      <c r="AA16" t="s">
        <v>50</v>
      </c>
      <c r="AC16" s="6" t="s">
        <v>51</v>
      </c>
      <c r="AD16" t="s">
        <v>52</v>
      </c>
      <c r="AP16" s="2"/>
      <c r="AR16" s="2"/>
    </row>
    <row r="17" spans="1:30" x14ac:dyDescent="0.25">
      <c r="A17" t="s">
        <v>81</v>
      </c>
      <c r="B17" t="s">
        <v>82</v>
      </c>
      <c r="C17" s="25">
        <v>45099</v>
      </c>
      <c r="D17" s="15">
        <v>700000</v>
      </c>
      <c r="E17" t="s">
        <v>55</v>
      </c>
      <c r="F17" t="s">
        <v>47</v>
      </c>
      <c r="G17" s="15">
        <v>700000</v>
      </c>
      <c r="H17" s="15">
        <v>133500</v>
      </c>
      <c r="I17" s="20">
        <f t="shared" ref="I17" si="4">H17/G17*100</f>
        <v>19.071428571428573</v>
      </c>
      <c r="J17" s="15">
        <v>266957</v>
      </c>
      <c r="K17" s="15">
        <f>G17-0</f>
        <v>700000</v>
      </c>
      <c r="L17" s="15">
        <v>266957</v>
      </c>
      <c r="M17" s="30">
        <v>174.48200600000001</v>
      </c>
      <c r="N17" s="34">
        <v>165</v>
      </c>
      <c r="O17" s="39">
        <v>0.98499999999999999</v>
      </c>
      <c r="P17" s="39">
        <v>0.98499999999999999</v>
      </c>
      <c r="Q17" s="15">
        <f t="shared" ref="Q17" si="5">K17/M17</f>
        <v>4011.8750124869607</v>
      </c>
      <c r="R17" s="15">
        <f t="shared" ref="R17" si="6">K17/O17</f>
        <v>710659.89847715735</v>
      </c>
      <c r="S17" s="44">
        <f t="shared" ref="S17" si="7">K17/O17/43560</f>
        <v>16.314506392955863</v>
      </c>
      <c r="T17" s="39">
        <v>260</v>
      </c>
      <c r="U17" s="5" t="s">
        <v>67</v>
      </c>
      <c r="V17" t="s">
        <v>83</v>
      </c>
      <c r="X17" t="s">
        <v>49</v>
      </c>
      <c r="Y17">
        <v>0</v>
      </c>
      <c r="Z17">
        <v>0</v>
      </c>
      <c r="AA17" s="7">
        <v>45245</v>
      </c>
      <c r="AC17" s="6" t="s">
        <v>57</v>
      </c>
      <c r="AD17" t="s">
        <v>52</v>
      </c>
    </row>
  </sheetData>
  <mergeCells count="1">
    <mergeCell ref="A15:AE15"/>
  </mergeCells>
  <conditionalFormatting sqref="A2:AE4">
    <cfRule type="expression" dxfId="7" priority="5" stopIfTrue="1">
      <formula>MOD(ROW(),4)&gt;1</formula>
    </cfRule>
    <cfRule type="expression" dxfId="6" priority="6" stopIfTrue="1">
      <formula>MOD(ROW(),4)&lt;2</formula>
    </cfRule>
  </conditionalFormatting>
  <conditionalFormatting sqref="A16:AE17">
    <cfRule type="expression" dxfId="5" priority="1" stopIfTrue="1">
      <formula>MOD(ROW(),4)&gt;1</formula>
    </cfRule>
    <cfRule type="expression" dxfId="4" priority="2" stopIfTrue="1">
      <formula>MOD(ROW(),4)&lt;2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B6D8-54B5-46D4-8216-7ABF01E7E0B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17DF4-D7EA-43CB-A164-C21D7565F6BD}">
  <sheetPr>
    <tabColor rgb="FFFFFF00"/>
  </sheetPr>
  <dimension ref="A1:AR16"/>
  <sheetViews>
    <sheetView tabSelected="1" workbookViewId="0">
      <selection activeCell="N12" sqref="N12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1.710937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2.4257812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1" width="12.85546875" bestFit="1" customWidth="1"/>
  </cols>
  <sheetData>
    <row r="1" spans="1:44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t="s">
        <v>78</v>
      </c>
      <c r="B2" t="s">
        <v>79</v>
      </c>
      <c r="C2" s="25">
        <v>45219</v>
      </c>
      <c r="D2" s="15">
        <v>1700000</v>
      </c>
      <c r="E2" t="s">
        <v>55</v>
      </c>
      <c r="F2" t="s">
        <v>47</v>
      </c>
      <c r="G2" s="15">
        <v>1700000</v>
      </c>
      <c r="H2" s="15">
        <v>768000</v>
      </c>
      <c r="I2" s="20">
        <f t="shared" ref="I2:I3" si="0">H2/G2*100</f>
        <v>45.176470588235297</v>
      </c>
      <c r="J2" s="15">
        <v>1535930</v>
      </c>
      <c r="K2" s="15">
        <f>G2-1250317</f>
        <v>449683</v>
      </c>
      <c r="L2" s="15">
        <v>285613</v>
      </c>
      <c r="M2" s="30">
        <v>88.837695999999994</v>
      </c>
      <c r="N2" s="34">
        <v>248.33332799999999</v>
      </c>
      <c r="O2" s="39">
        <v>0.42599999999999999</v>
      </c>
      <c r="P2" s="39">
        <v>0.42599999999999999</v>
      </c>
      <c r="Q2" s="15">
        <f t="shared" ref="Q2:Q3" si="1">K2/M2</f>
        <v>5061.848970058837</v>
      </c>
      <c r="R2" s="15">
        <f t="shared" ref="R2:R3" si="2">K2/O2</f>
        <v>1055593.8967136152</v>
      </c>
      <c r="S2" s="44">
        <f t="shared" ref="S2:S3" si="3">K2/O2/43560</f>
        <v>24.233101393792818</v>
      </c>
      <c r="T2" s="39">
        <v>66</v>
      </c>
      <c r="U2" s="5" t="s">
        <v>67</v>
      </c>
      <c r="V2" t="s">
        <v>80</v>
      </c>
      <c r="X2" t="s">
        <v>49</v>
      </c>
      <c r="Y2">
        <v>0</v>
      </c>
      <c r="Z2">
        <v>1</v>
      </c>
      <c r="AA2" s="7">
        <v>43811</v>
      </c>
      <c r="AC2" s="6" t="s">
        <v>70</v>
      </c>
      <c r="AD2" t="s">
        <v>77</v>
      </c>
      <c r="AE2" t="s">
        <v>77</v>
      </c>
    </row>
    <row r="3" spans="1:44" ht="15.75" thickBot="1" x14ac:dyDescent="0.3">
      <c r="A3" t="s">
        <v>89</v>
      </c>
      <c r="B3" t="s">
        <v>90</v>
      </c>
      <c r="C3" s="25">
        <v>45231</v>
      </c>
      <c r="D3" s="15">
        <v>650000</v>
      </c>
      <c r="E3" t="s">
        <v>55</v>
      </c>
      <c r="F3" t="s">
        <v>47</v>
      </c>
      <c r="G3" s="15">
        <v>650000</v>
      </c>
      <c r="H3" s="15">
        <v>277800</v>
      </c>
      <c r="I3" s="20">
        <f t="shared" si="0"/>
        <v>42.738461538461536</v>
      </c>
      <c r="J3" s="15">
        <v>555643</v>
      </c>
      <c r="K3" s="15">
        <f>G3-337193</f>
        <v>312807</v>
      </c>
      <c r="L3" s="15">
        <v>218450</v>
      </c>
      <c r="M3" s="30">
        <v>67.947029999999998</v>
      </c>
      <c r="N3" s="34">
        <v>106</v>
      </c>
      <c r="O3" s="39">
        <v>0.191</v>
      </c>
      <c r="P3" s="39">
        <v>0.191</v>
      </c>
      <c r="Q3" s="15">
        <f t="shared" si="1"/>
        <v>4603.6890795668332</v>
      </c>
      <c r="R3" s="15">
        <f t="shared" si="2"/>
        <v>1637732.9842931938</v>
      </c>
      <c r="S3" s="44">
        <f t="shared" si="3"/>
        <v>37.59717594796129</v>
      </c>
      <c r="T3" s="39">
        <v>78.5</v>
      </c>
      <c r="U3" s="5" t="s">
        <v>67</v>
      </c>
      <c r="V3" t="s">
        <v>91</v>
      </c>
      <c r="X3" t="s">
        <v>49</v>
      </c>
      <c r="Y3">
        <v>0</v>
      </c>
      <c r="Z3">
        <v>0</v>
      </c>
      <c r="AA3" s="7">
        <v>39668</v>
      </c>
      <c r="AC3" s="6" t="s">
        <v>70</v>
      </c>
      <c r="AD3" t="s">
        <v>77</v>
      </c>
    </row>
    <row r="4" spans="1:44" ht="15.75" thickTop="1" x14ac:dyDescent="0.25">
      <c r="A4" s="8"/>
      <c r="B4" s="8"/>
      <c r="C4" s="26" t="s">
        <v>96</v>
      </c>
      <c r="D4" s="16">
        <f>+SUM(D2:D3)</f>
        <v>2350000</v>
      </c>
      <c r="E4" s="8"/>
      <c r="F4" s="8"/>
      <c r="G4" s="16">
        <f>+SUM(G2:G3)</f>
        <v>2350000</v>
      </c>
      <c r="H4" s="16">
        <f>+SUM(H2:H3)</f>
        <v>1045800</v>
      </c>
      <c r="I4" s="21"/>
      <c r="J4" s="16">
        <f>+SUM(J2:J3)</f>
        <v>2091573</v>
      </c>
      <c r="K4" s="16">
        <f>+SUM(K2:K3)</f>
        <v>762490</v>
      </c>
      <c r="L4" s="16">
        <f>+SUM(L2:L3)</f>
        <v>504063</v>
      </c>
      <c r="M4" s="31">
        <f>+SUM(M2:M3)</f>
        <v>156.78472599999998</v>
      </c>
      <c r="N4" s="35"/>
      <c r="O4" s="40">
        <f>+SUM(O2:O3)</f>
        <v>0.61699999999999999</v>
      </c>
      <c r="P4" s="40">
        <f>+SUM(P2:P3)</f>
        <v>0.61699999999999999</v>
      </c>
      <c r="Q4" s="16"/>
      <c r="R4" s="16"/>
      <c r="S4" s="45"/>
      <c r="T4" s="40"/>
      <c r="U4" s="9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44" x14ac:dyDescent="0.25">
      <c r="A5" s="10"/>
      <c r="B5" s="10"/>
      <c r="C5" s="27"/>
      <c r="D5" s="17"/>
      <c r="E5" s="10"/>
      <c r="F5" s="10"/>
      <c r="G5" s="17"/>
      <c r="H5" s="17" t="s">
        <v>97</v>
      </c>
      <c r="I5" s="22">
        <f>H4/G4*100</f>
        <v>44.502127659574469</v>
      </c>
      <c r="J5" s="17"/>
      <c r="K5" s="17"/>
      <c r="L5" s="17" t="s">
        <v>98</v>
      </c>
      <c r="M5" s="32"/>
      <c r="N5" s="36"/>
      <c r="O5" s="41" t="s">
        <v>98</v>
      </c>
      <c r="P5" s="41"/>
      <c r="Q5" s="17"/>
      <c r="R5" s="17" t="s">
        <v>98</v>
      </c>
      <c r="S5" s="46"/>
      <c r="T5" s="41"/>
      <c r="U5" s="11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44" x14ac:dyDescent="0.25">
      <c r="A6" s="12"/>
      <c r="B6" s="12"/>
      <c r="C6" s="28"/>
      <c r="D6" s="18"/>
      <c r="E6" s="12"/>
      <c r="F6" s="12"/>
      <c r="G6" s="18"/>
      <c r="H6" s="18" t="s">
        <v>99</v>
      </c>
      <c r="I6" s="23">
        <f>STDEV(I2:I3)</f>
        <v>1.7239327316891977</v>
      </c>
      <c r="J6" s="18"/>
      <c r="K6" s="18"/>
      <c r="L6" s="18" t="s">
        <v>100</v>
      </c>
      <c r="M6" s="48">
        <f>K4/M4</f>
        <v>4863.2926143583663</v>
      </c>
      <c r="N6" s="37"/>
      <c r="O6" s="42" t="s">
        <v>101</v>
      </c>
      <c r="P6" s="42">
        <f>K4/O4</f>
        <v>1235802.2690437601</v>
      </c>
      <c r="Q6" s="18"/>
      <c r="R6" s="18" t="s">
        <v>102</v>
      </c>
      <c r="S6" s="47">
        <f>K4/O4/43560</f>
        <v>28.370116369232328</v>
      </c>
      <c r="T6" s="4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10" spans="1:44" x14ac:dyDescent="0.25">
      <c r="J10" s="15">
        <v>3215</v>
      </c>
      <c r="K10" s="15">
        <v>4863</v>
      </c>
      <c r="L10" s="15" t="s">
        <v>106</v>
      </c>
    </row>
    <row r="15" spans="1:44" x14ac:dyDescent="0.25">
      <c r="A15" s="50" t="s">
        <v>103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44" x14ac:dyDescent="0.25">
      <c r="A16" t="s">
        <v>72</v>
      </c>
      <c r="B16" t="s">
        <v>73</v>
      </c>
      <c r="C16" s="25">
        <v>44823</v>
      </c>
      <c r="D16" s="15">
        <v>0</v>
      </c>
      <c r="E16" t="s">
        <v>74</v>
      </c>
      <c r="F16" t="s">
        <v>75</v>
      </c>
      <c r="G16" s="15">
        <v>0</v>
      </c>
      <c r="H16" s="15">
        <v>402000</v>
      </c>
      <c r="I16" s="20" t="e">
        <f>H16/G16*100</f>
        <v>#DIV/0!</v>
      </c>
      <c r="J16" s="15">
        <v>804069</v>
      </c>
      <c r="K16" s="15">
        <f>G16-370626</f>
        <v>-370626</v>
      </c>
      <c r="L16" s="15">
        <v>433443</v>
      </c>
      <c r="M16" s="30">
        <v>134.81905499999999</v>
      </c>
      <c r="N16" s="34">
        <v>156.33999600000001</v>
      </c>
      <c r="O16" s="39">
        <v>0.52</v>
      </c>
      <c r="P16" s="39">
        <v>0.52</v>
      </c>
      <c r="Q16" s="15">
        <f>K16/M16</f>
        <v>-2749.0624377985741</v>
      </c>
      <c r="R16" s="15">
        <f>K16/O16</f>
        <v>-712742.30769230763</v>
      </c>
      <c r="S16" s="44">
        <f>K16/O16/43560</f>
        <v>-16.362311930493746</v>
      </c>
      <c r="T16" s="39">
        <v>145</v>
      </c>
      <c r="U16" s="5" t="s">
        <v>67</v>
      </c>
      <c r="V16" t="s">
        <v>76</v>
      </c>
      <c r="X16" t="s">
        <v>49</v>
      </c>
      <c r="Y16">
        <v>0</v>
      </c>
      <c r="Z16">
        <v>0</v>
      </c>
      <c r="AA16" s="7">
        <v>40297</v>
      </c>
      <c r="AC16" s="6" t="s">
        <v>70</v>
      </c>
      <c r="AD16" t="s">
        <v>77</v>
      </c>
    </row>
  </sheetData>
  <mergeCells count="1">
    <mergeCell ref="A15:AE15"/>
  </mergeCells>
  <conditionalFormatting sqref="A2:AE3 A16:AE16">
    <cfRule type="expression" dxfId="3" priority="1" stopIfTrue="1">
      <formula>MOD(ROW(),4)&gt;1</formula>
    </cfRule>
    <cfRule type="expression" dxfId="2" priority="2" stopIfTrue="1">
      <formula>MOD(ROW(),4)&lt;2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5BF4-9C31-4592-B958-6BBBE8AAA3F1}">
  <sheetPr>
    <tabColor rgb="FFFFFF00"/>
  </sheetPr>
  <dimension ref="A1:AY12"/>
  <sheetViews>
    <sheetView workbookViewId="0">
      <selection activeCell="M9" sqref="M9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26.85546875" bestFit="1" customWidth="1"/>
    <col min="24" max="24" width="17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  <col min="31" max="31" width="12.85546875" bestFit="1" customWidth="1"/>
  </cols>
  <sheetData>
    <row r="1" spans="1:51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x14ac:dyDescent="0.25">
      <c r="A2" t="s">
        <v>64</v>
      </c>
      <c r="B2" t="s">
        <v>65</v>
      </c>
      <c r="C2" s="25">
        <v>44806</v>
      </c>
      <c r="D2" s="15">
        <v>3000000</v>
      </c>
      <c r="E2" t="s">
        <v>55</v>
      </c>
      <c r="F2" t="s">
        <v>66</v>
      </c>
      <c r="G2" s="15">
        <v>3000000</v>
      </c>
      <c r="H2" s="15">
        <v>1603500</v>
      </c>
      <c r="I2" s="20">
        <f t="shared" ref="I2:I3" si="0">H2/G2*100</f>
        <v>53.449999999999996</v>
      </c>
      <c r="J2" s="15">
        <v>4963830</v>
      </c>
      <c r="K2" s="15">
        <f>G2-419911</f>
        <v>2580089</v>
      </c>
      <c r="L2" s="15">
        <v>2787147</v>
      </c>
      <c r="M2" s="30">
        <v>1564.153491</v>
      </c>
      <c r="N2" s="34">
        <v>847.78216599999996</v>
      </c>
      <c r="O2" s="39">
        <v>13.215</v>
      </c>
      <c r="P2" s="39">
        <v>13.22</v>
      </c>
      <c r="Q2" s="15">
        <f t="shared" ref="Q2:Q3" si="1">K2/M2</f>
        <v>1649.5113905672317</v>
      </c>
      <c r="R2" s="15">
        <f t="shared" ref="R2:R3" si="2">K2/O2</f>
        <v>195239.42489595158</v>
      </c>
      <c r="S2" s="44">
        <f t="shared" ref="S2:S3" si="3">K2/O2/43560</f>
        <v>4.4820804613395682</v>
      </c>
      <c r="T2" s="39">
        <v>1656.34</v>
      </c>
      <c r="U2" s="5" t="s">
        <v>67</v>
      </c>
      <c r="V2" t="s">
        <v>68</v>
      </c>
      <c r="W2" t="s">
        <v>69</v>
      </c>
      <c r="X2" t="s">
        <v>49</v>
      </c>
      <c r="Y2">
        <v>0</v>
      </c>
      <c r="Z2">
        <v>0</v>
      </c>
      <c r="AA2" t="s">
        <v>50</v>
      </c>
      <c r="AC2" s="6" t="s">
        <v>70</v>
      </c>
      <c r="AD2" t="s">
        <v>71</v>
      </c>
    </row>
    <row r="3" spans="1:51" ht="15.75" thickBot="1" x14ac:dyDescent="0.3">
      <c r="A3" t="s">
        <v>92</v>
      </c>
      <c r="B3" t="s">
        <v>93</v>
      </c>
      <c r="C3" s="25">
        <v>44757</v>
      </c>
      <c r="D3" s="15">
        <v>1050000</v>
      </c>
      <c r="E3" t="s">
        <v>55</v>
      </c>
      <c r="F3" t="s">
        <v>47</v>
      </c>
      <c r="G3" s="15">
        <v>1050000</v>
      </c>
      <c r="H3" s="15">
        <v>523700</v>
      </c>
      <c r="I3" s="20">
        <f t="shared" si="0"/>
        <v>49.876190476190473</v>
      </c>
      <c r="J3" s="15">
        <v>1047491</v>
      </c>
      <c r="K3" s="15">
        <f>G3-952286</f>
        <v>97714</v>
      </c>
      <c r="L3" s="15">
        <v>95205</v>
      </c>
      <c r="M3" s="30">
        <v>66</v>
      </c>
      <c r="N3" s="34">
        <v>66</v>
      </c>
      <c r="O3" s="39">
        <v>0.1</v>
      </c>
      <c r="P3" s="39">
        <v>0.1</v>
      </c>
      <c r="Q3" s="15">
        <f t="shared" si="1"/>
        <v>1480.5151515151515</v>
      </c>
      <c r="R3" s="15">
        <f t="shared" si="2"/>
        <v>977140</v>
      </c>
      <c r="S3" s="44">
        <f t="shared" si="3"/>
        <v>22.432047750229568</v>
      </c>
      <c r="T3" s="39">
        <v>66</v>
      </c>
      <c r="U3" s="5" t="s">
        <v>94</v>
      </c>
      <c r="V3" t="s">
        <v>95</v>
      </c>
      <c r="X3" t="s">
        <v>49</v>
      </c>
      <c r="Y3">
        <v>1</v>
      </c>
      <c r="Z3">
        <v>0</v>
      </c>
      <c r="AA3" s="7">
        <v>45245</v>
      </c>
      <c r="AC3" s="6" t="s">
        <v>70</v>
      </c>
      <c r="AD3" t="s">
        <v>71</v>
      </c>
    </row>
    <row r="4" spans="1:51" ht="15.75" thickTop="1" x14ac:dyDescent="0.25">
      <c r="A4" s="8"/>
      <c r="B4" s="8"/>
      <c r="C4" s="26" t="s">
        <v>96</v>
      </c>
      <c r="D4" s="16">
        <f>+SUM(D2:D3)</f>
        <v>4050000</v>
      </c>
      <c r="E4" s="8"/>
      <c r="F4" s="8"/>
      <c r="G4" s="16">
        <f>+SUM(G2:G3)</f>
        <v>4050000</v>
      </c>
      <c r="H4" s="16">
        <f>+SUM(H2:H3)</f>
        <v>2127200</v>
      </c>
      <c r="I4" s="21"/>
      <c r="J4" s="16">
        <f>+SUM(J2:J3)</f>
        <v>6011321</v>
      </c>
      <c r="K4" s="16">
        <f>+SUM(K2:K3)</f>
        <v>2677803</v>
      </c>
      <c r="L4" s="16">
        <f>+SUM(L2:L3)</f>
        <v>2882352</v>
      </c>
      <c r="M4" s="31">
        <f>+SUM(M2:M3)</f>
        <v>1630.153491</v>
      </c>
      <c r="N4" s="35"/>
      <c r="O4" s="40">
        <f>+SUM(O2:O3)</f>
        <v>13.315</v>
      </c>
      <c r="P4" s="40">
        <f>+SUM(P2:P3)</f>
        <v>13.32</v>
      </c>
      <c r="Q4" s="16"/>
      <c r="R4" s="16"/>
      <c r="S4" s="45"/>
      <c r="T4" s="40"/>
      <c r="U4" s="9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51" x14ac:dyDescent="0.25">
      <c r="A5" s="10"/>
      <c r="B5" s="10"/>
      <c r="C5" s="27"/>
      <c r="D5" s="17"/>
      <c r="E5" s="10"/>
      <c r="F5" s="10"/>
      <c r="G5" s="17"/>
      <c r="H5" s="17" t="s">
        <v>97</v>
      </c>
      <c r="I5" s="22">
        <f>H4/G4*100</f>
        <v>52.523456790123454</v>
      </c>
      <c r="J5" s="17"/>
      <c r="K5" s="17"/>
      <c r="L5" s="17" t="s">
        <v>98</v>
      </c>
      <c r="M5" s="32"/>
      <c r="N5" s="36"/>
      <c r="O5" s="41" t="s">
        <v>98</v>
      </c>
      <c r="P5" s="41"/>
      <c r="Q5" s="17"/>
      <c r="R5" s="17" t="s">
        <v>98</v>
      </c>
      <c r="S5" s="46"/>
      <c r="T5" s="41"/>
      <c r="U5" s="11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51" x14ac:dyDescent="0.25">
      <c r="A6" s="12"/>
      <c r="B6" s="12"/>
      <c r="C6" s="28"/>
      <c r="D6" s="18"/>
      <c r="E6" s="12"/>
      <c r="F6" s="12"/>
      <c r="G6" s="18"/>
      <c r="H6" s="18" t="s">
        <v>99</v>
      </c>
      <c r="I6" s="23">
        <f>STDEV(I2:I3)</f>
        <v>2.5270649489547794</v>
      </c>
      <c r="J6" s="18"/>
      <c r="K6" s="18"/>
      <c r="L6" s="18" t="s">
        <v>100</v>
      </c>
      <c r="M6" s="48">
        <f>K4/M4</f>
        <v>1642.6692423652271</v>
      </c>
      <c r="N6" s="37"/>
      <c r="O6" s="42" t="s">
        <v>101</v>
      </c>
      <c r="P6" s="42">
        <f>K4/O4</f>
        <v>201111.75366128428</v>
      </c>
      <c r="Q6" s="18"/>
      <c r="R6" s="18" t="s">
        <v>102</v>
      </c>
      <c r="S6" s="47">
        <f>K4/O4/43560</f>
        <v>4.6168905799192901</v>
      </c>
      <c r="T6" s="4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12" spans="1:51" x14ac:dyDescent="0.25">
      <c r="J12" s="15">
        <v>2040</v>
      </c>
      <c r="K12" s="15">
        <v>1662</v>
      </c>
    </row>
  </sheetData>
  <conditionalFormatting sqref="A2:AE3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Land Analysis</vt:lpstr>
      <vt:lpstr>West Res</vt:lpstr>
      <vt:lpstr>Fredrick</vt:lpstr>
      <vt:lpstr>Park St View</vt:lpstr>
      <vt:lpstr>Park St 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Assessor</dc:creator>
  <cp:lastModifiedBy>Don Jollay</cp:lastModifiedBy>
  <dcterms:created xsi:type="dcterms:W3CDTF">2024-11-07T20:55:47Z</dcterms:created>
  <dcterms:modified xsi:type="dcterms:W3CDTF">2024-12-27T20:02:06Z</dcterms:modified>
</cp:coreProperties>
</file>