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B0464E4C-8A8A-470F-B437-4F5A8030975B}" xr6:coauthVersionLast="47" xr6:coauthVersionMax="47" xr10:uidLastSave="{00000000-0000-0000-0000-000000000000}"/>
  <bookViews>
    <workbookView xWindow="-120" yWindow="-120" windowWidth="29040" windowHeight="15720" xr2:uid="{AA067211-3300-4A5A-B64A-5B73B380EFBB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2" l="1"/>
  <c r="R41" i="2" s="1"/>
  <c r="I41" i="2"/>
  <c r="K40" i="2"/>
  <c r="R40" i="2" s="1"/>
  <c r="I40" i="2"/>
  <c r="I3" i="2"/>
  <c r="K3" i="2"/>
  <c r="R3" i="2" s="1"/>
  <c r="I38" i="2"/>
  <c r="K38" i="2"/>
  <c r="Q38" i="2" s="1"/>
  <c r="I4" i="2"/>
  <c r="K4" i="2"/>
  <c r="Q4" i="2" s="1"/>
  <c r="I5" i="2"/>
  <c r="K5" i="2"/>
  <c r="Q5" i="2" s="1"/>
  <c r="I6" i="2"/>
  <c r="K6" i="2"/>
  <c r="Q6" i="2" s="1"/>
  <c r="I7" i="2"/>
  <c r="K7" i="2"/>
  <c r="R7" i="2" s="1"/>
  <c r="I8" i="2"/>
  <c r="K8" i="2"/>
  <c r="Q8" i="2" s="1"/>
  <c r="I9" i="2"/>
  <c r="K9" i="2"/>
  <c r="Q9" i="2" s="1"/>
  <c r="I34" i="2"/>
  <c r="K34" i="2"/>
  <c r="R34" i="2" s="1"/>
  <c r="I10" i="2"/>
  <c r="K10" i="2"/>
  <c r="Q10" i="2" s="1"/>
  <c r="I11" i="2"/>
  <c r="K11" i="2"/>
  <c r="Q11" i="2" s="1"/>
  <c r="I12" i="2"/>
  <c r="K12" i="2"/>
  <c r="S12" i="2" s="1"/>
  <c r="I13" i="2"/>
  <c r="K13" i="2"/>
  <c r="Q13" i="2" s="1"/>
  <c r="I43" i="2"/>
  <c r="K43" i="2"/>
  <c r="Q43" i="2" s="1"/>
  <c r="I44" i="2"/>
  <c r="K44" i="2"/>
  <c r="R44" i="2" s="1"/>
  <c r="I42" i="2"/>
  <c r="K42" i="2"/>
  <c r="Q42" i="2" s="1"/>
  <c r="I14" i="2"/>
  <c r="K14" i="2"/>
  <c r="Q14" i="2" s="1"/>
  <c r="I15" i="2"/>
  <c r="K15" i="2"/>
  <c r="Q15" i="2" s="1"/>
  <c r="I16" i="2"/>
  <c r="K16" i="2"/>
  <c r="Q16" i="2" s="1"/>
  <c r="I17" i="2"/>
  <c r="K17" i="2"/>
  <c r="Q17" i="2" s="1"/>
  <c r="I35" i="2"/>
  <c r="K35" i="2"/>
  <c r="Q35" i="2" s="1"/>
  <c r="I36" i="2"/>
  <c r="K36" i="2"/>
  <c r="S36" i="2" s="1"/>
  <c r="I18" i="2"/>
  <c r="K18" i="2"/>
  <c r="Q18" i="2" s="1"/>
  <c r="I37" i="2"/>
  <c r="K37" i="2"/>
  <c r="Q37" i="2" s="1"/>
  <c r="I39" i="2"/>
  <c r="K39" i="2"/>
  <c r="R39" i="2" s="1"/>
  <c r="I19" i="2"/>
  <c r="K19" i="2"/>
  <c r="Q19" i="2" s="1"/>
  <c r="I20" i="2"/>
  <c r="K20" i="2"/>
  <c r="Q20" i="2" s="1"/>
  <c r="I21" i="2"/>
  <c r="K21" i="2"/>
  <c r="Q21" i="2" s="1"/>
  <c r="I22" i="2"/>
  <c r="K22" i="2"/>
  <c r="Q22" i="2" s="1"/>
  <c r="D23" i="2"/>
  <c r="G23" i="2"/>
  <c r="H23" i="2"/>
  <c r="J23" i="2"/>
  <c r="L23" i="2"/>
  <c r="M23" i="2"/>
  <c r="O23" i="2"/>
  <c r="P23" i="2"/>
  <c r="S40" i="2" l="1"/>
  <c r="Q40" i="2"/>
  <c r="Q41" i="2"/>
  <c r="S41" i="2"/>
  <c r="R36" i="2"/>
  <c r="S8" i="2"/>
  <c r="Q36" i="2"/>
  <c r="Q39" i="2"/>
  <c r="Q7" i="2"/>
  <c r="Q44" i="2"/>
  <c r="S22" i="2"/>
  <c r="R10" i="2"/>
  <c r="S6" i="2"/>
  <c r="R6" i="2"/>
  <c r="S39" i="2"/>
  <c r="R12" i="2"/>
  <c r="S43" i="2"/>
  <c r="S3" i="2"/>
  <c r="S17" i="2"/>
  <c r="Q3" i="2"/>
  <c r="S37" i="2"/>
  <c r="R17" i="2"/>
  <c r="S20" i="2"/>
  <c r="Q12" i="2"/>
  <c r="S44" i="2"/>
  <c r="Q34" i="2"/>
  <c r="S38" i="2"/>
  <c r="S16" i="2"/>
  <c r="S9" i="2"/>
  <c r="R9" i="2"/>
  <c r="S10" i="2"/>
  <c r="R22" i="2"/>
  <c r="S14" i="2"/>
  <c r="I25" i="2"/>
  <c r="R16" i="2"/>
  <c r="I24" i="2"/>
  <c r="S4" i="2"/>
  <c r="R37" i="2"/>
  <c r="R43" i="2"/>
  <c r="S19" i="2"/>
  <c r="S42" i="2"/>
  <c r="S7" i="2"/>
  <c r="R19" i="2"/>
  <c r="S35" i="2"/>
  <c r="R42" i="2"/>
  <c r="S11" i="2"/>
  <c r="S21" i="2"/>
  <c r="R35" i="2"/>
  <c r="S15" i="2"/>
  <c r="R11" i="2"/>
  <c r="R38" i="2"/>
  <c r="R21" i="2"/>
  <c r="S18" i="2"/>
  <c r="R15" i="2"/>
  <c r="S13" i="2"/>
  <c r="S5" i="2"/>
  <c r="K23" i="2"/>
  <c r="R18" i="2"/>
  <c r="R13" i="2"/>
  <c r="S34" i="2"/>
  <c r="R5" i="2"/>
  <c r="R20" i="2"/>
  <c r="R14" i="2"/>
  <c r="R8" i="2"/>
  <c r="R4" i="2"/>
  <c r="M25" i="2" l="1"/>
  <c r="P25" i="2"/>
  <c r="S25" i="2"/>
</calcChain>
</file>

<file path=xl/sharedStrings.xml><?xml version="1.0" encoding="utf-8"?>
<sst xmlns="http://schemas.openxmlformats.org/spreadsheetml/2006/main" count="327" uniqueCount="137">
  <si>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</si>
  <si>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</si>
  <si>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</si>
  <si>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</si>
  <si>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</si>
  <si>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</si>
  <si>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</si>
  <si>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</si>
  <si>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</si>
  <si>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</si>
  <si>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</si>
  <si>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</si>
  <si>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</si>
  <si>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</si>
  <si>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</si>
  <si>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</si>
  <si>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</si>
  <si>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</si>
  <si>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</si>
  <si>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</si>
  <si>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</si>
  <si>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</si>
  <si>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</si>
  <si>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</si>
  <si>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</si>
  <si>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</si>
  <si>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</si>
  <si>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</si>
  <si>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</si>
  <si>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</si>
  <si>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</si>
  <si>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57-009-016-15</t>
  </si>
  <si>
    <t>646 FRANCIS</t>
  </si>
  <si>
    <t>WD</t>
  </si>
  <si>
    <t>03-ARM'S LENGTH</t>
  </si>
  <si>
    <t>EHRES</t>
  </si>
  <si>
    <t>4883/674</t>
  </si>
  <si>
    <t>EAST HILL RESIDENTIAL</t>
  </si>
  <si>
    <t>402</t>
  </si>
  <si>
    <t>57-051-001-21</t>
  </si>
  <si>
    <t>860 SIMONSON</t>
  </si>
  <si>
    <t>PTA</t>
  </si>
  <si>
    <t>4802/777</t>
  </si>
  <si>
    <t>401</t>
  </si>
  <si>
    <t>57-051-001-22</t>
  </si>
  <si>
    <t>560 MILL</t>
  </si>
  <si>
    <t>4794/477</t>
  </si>
  <si>
    <t>57-053-004-00</t>
  </si>
  <si>
    <t>1041 HOLLAND</t>
  </si>
  <si>
    <t>4860/332</t>
  </si>
  <si>
    <t>57-053-010-00</t>
  </si>
  <si>
    <t>141 NORTH</t>
  </si>
  <si>
    <t>4805/115</t>
  </si>
  <si>
    <t>57-300-091-00</t>
  </si>
  <si>
    <t>312 ST JOSEPH</t>
  </si>
  <si>
    <t>4773/364</t>
  </si>
  <si>
    <t>57-300-115-00</t>
  </si>
  <si>
    <t>312 HOFFMAN</t>
  </si>
  <si>
    <t>4807/959</t>
  </si>
  <si>
    <t>57-300-122-00</t>
  </si>
  <si>
    <t>247 GRAND</t>
  </si>
  <si>
    <t>4901/765</t>
  </si>
  <si>
    <t>57-300-157-00</t>
  </si>
  <si>
    <t>408 MASON</t>
  </si>
  <si>
    <t>4914/384</t>
  </si>
  <si>
    <t>764 MASON</t>
  </si>
  <si>
    <t>4807/915</t>
  </si>
  <si>
    <t>57-350-013-01</t>
  </si>
  <si>
    <t>57-350-014-00</t>
  </si>
  <si>
    <t>MASON</t>
  </si>
  <si>
    <t>4804/829</t>
  </si>
  <si>
    <t>57-350-016-00</t>
  </si>
  <si>
    <t>708 MASON</t>
  </si>
  <si>
    <t>LC</t>
  </si>
  <si>
    <t>04-BUYERS INTEREST IN A LC</t>
  </si>
  <si>
    <t>4927/973</t>
  </si>
  <si>
    <t>57-501-002-00</t>
  </si>
  <si>
    <t>550 MASON</t>
  </si>
  <si>
    <t>4760/688</t>
  </si>
  <si>
    <t>57-501-003-00</t>
  </si>
  <si>
    <t>558 MASON</t>
  </si>
  <si>
    <t>4857/138</t>
  </si>
  <si>
    <t>57-501-004-00</t>
  </si>
  <si>
    <t>568 MASON</t>
  </si>
  <si>
    <t>4871/873</t>
  </si>
  <si>
    <t>57-503-021-00</t>
  </si>
  <si>
    <t>556 MAIN</t>
  </si>
  <si>
    <t>4903/428</t>
  </si>
  <si>
    <t>57-505-036-00</t>
  </si>
  <si>
    <t>309 ELIZABETH</t>
  </si>
  <si>
    <t>4772/223</t>
  </si>
  <si>
    <t>57-506-039-00</t>
  </si>
  <si>
    <t>221 ELIZABETH</t>
  </si>
  <si>
    <t>57-507-047-00</t>
  </si>
  <si>
    <t>165 ELIZABETH</t>
  </si>
  <si>
    <t>4881/266</t>
  </si>
  <si>
    <t>57-507-057-01</t>
  </si>
  <si>
    <t>125 ELIZABETH</t>
  </si>
  <si>
    <t>4910/137</t>
  </si>
  <si>
    <t>57-513-015-11</t>
  </si>
  <si>
    <t>186 S MAPLE</t>
  </si>
  <si>
    <t>4841/353</t>
  </si>
  <si>
    <t>57-513-020-00</t>
  </si>
  <si>
    <t>901 ALLEGAN</t>
  </si>
  <si>
    <t>4803/467</t>
  </si>
  <si>
    <t>57-514-035-10</t>
  </si>
  <si>
    <t>745 PLEASANT</t>
  </si>
  <si>
    <t>4893/245</t>
  </si>
  <si>
    <t>57-514-036-10</t>
  </si>
  <si>
    <t>731 PLEASANT</t>
  </si>
  <si>
    <t>4867/578</t>
  </si>
  <si>
    <t>57-514-042-00</t>
  </si>
  <si>
    <t>703 PLEASANT</t>
  </si>
  <si>
    <t>4812/639</t>
  </si>
  <si>
    <t>57-514-044-00</t>
  </si>
  <si>
    <t>649 PLEASANT</t>
  </si>
  <si>
    <t>4795/421</t>
  </si>
  <si>
    <t>57-514-045-00</t>
  </si>
  <si>
    <t>660 LAKE</t>
  </si>
  <si>
    <t>4846/498</t>
  </si>
  <si>
    <t>LAKE ST</t>
  </si>
  <si>
    <t>57-514-047-00</t>
  </si>
  <si>
    <t>621 PLEASANT</t>
  </si>
  <si>
    <t>4809/510</t>
  </si>
  <si>
    <t>57-750-015-00</t>
  </si>
  <si>
    <t>149 TAYLOR</t>
  </si>
  <si>
    <t>4803/451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</si>
  <si>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</si>
  <si>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</si>
  <si>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</si>
  <si>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</si>
  <si>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</si>
  <si>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</si>
  <si>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</si>
  <si>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Do Not Use</t>
  </si>
  <si>
    <t>East Hill Residential (EHRES) Land Value</t>
  </si>
  <si>
    <t>Concluded FF Rate = $2,966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</si>
</sst>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6" borderId="2" xfId="0" applyNumberFormat="1" applyFont="1" applyFill="1" applyBorder="1"/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6" fontId="0" fillId="6" borderId="0" xfId="0" applyNumberFormat="1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DA40-CCCD-42CE-B660-50C3673E3888}">
  <dimension ref="A1:AY44"/>
  <sheetViews>
    <sheetView tabSelected="1" workbookViewId="0">
      <selection activeCell="G31" sqref="G31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1.85546875" style="15" bestFit="1" customWidth="1"/>
    <col min="5" max="5" width="5.7109375" bestFit="1" customWidth="1"/>
    <col min="6" max="6" width="29.42578125" bestFit="1" customWidth="1"/>
    <col min="7" max="7" width="11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20.8554687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1" width="12.5703125" bestFit="1" customWidth="1"/>
  </cols>
  <sheetData>
    <row r="1" spans="1:51" x14ac:dyDescent="0.25">
      <c r="A1" s="50" t="s">
        <v>135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</row>
    <row r="2" spans="1:51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x14ac:dyDescent="0.25">
      <c r="A3" t="s">
        <v>31</v>
      </c>
      <c r="B3" t="s">
        <v>32</v>
      </c>
      <c r="C3" s="25">
        <v>45168</v>
      </c>
      <c r="D3" s="15">
        <v>275000</v>
      </c>
      <c r="E3" t="s">
        <v>33</v>
      </c>
      <c r="F3" t="s">
        <v>34</v>
      </c>
      <c r="G3" s="15">
        <v>275000</v>
      </c>
      <c r="H3" s="15">
        <v>215300</v>
      </c>
      <c r="I3" s="20">
        <f t="shared" ref="I3:I22" si="0">H3/G3*100</f>
        <v>78.290909090909082</v>
      </c>
      <c r="J3" s="15">
        <v>430500</v>
      </c>
      <c r="K3" s="15">
        <f>G3-0</f>
        <v>275000</v>
      </c>
      <c r="L3" s="15">
        <v>430500</v>
      </c>
      <c r="M3" s="30">
        <v>123</v>
      </c>
      <c r="N3" s="34">
        <v>246.554047</v>
      </c>
      <c r="O3" s="39">
        <v>1.2569999999999999</v>
      </c>
      <c r="P3" s="39">
        <v>1.2569999999999999</v>
      </c>
      <c r="Q3" s="15">
        <f t="shared" ref="Q3:Q22" si="1">K3/M3</f>
        <v>2235.7723577235774</v>
      </c>
      <c r="R3" s="15">
        <f t="shared" ref="R3:R22" si="2">K3/O3</f>
        <v>218774.86077963407</v>
      </c>
      <c r="S3" s="44">
        <f t="shared" ref="S3:S22" si="3">K3/O3/43560</f>
        <v>5.0223797240503689</v>
      </c>
      <c r="T3" s="39">
        <v>123</v>
      </c>
      <c r="U3" s="5" t="s">
        <v>35</v>
      </c>
      <c r="V3" t="s">
        <v>36</v>
      </c>
      <c r="X3" t="s">
        <v>37</v>
      </c>
      <c r="Y3">
        <v>0</v>
      </c>
      <c r="Z3">
        <v>0</v>
      </c>
      <c r="AA3" s="6">
        <v>45603</v>
      </c>
      <c r="AC3" s="7" t="s">
        <v>38</v>
      </c>
      <c r="AD3" t="s">
        <v>35</v>
      </c>
      <c r="AP3" s="2"/>
      <c r="AR3" s="2"/>
    </row>
    <row r="4" spans="1:51" x14ac:dyDescent="0.25">
      <c r="A4" t="s">
        <v>44</v>
      </c>
      <c r="B4" t="s">
        <v>45</v>
      </c>
      <c r="C4" s="25">
        <v>44802</v>
      </c>
      <c r="D4" s="15">
        <v>1167500</v>
      </c>
      <c r="E4" t="s">
        <v>33</v>
      </c>
      <c r="F4" t="s">
        <v>34</v>
      </c>
      <c r="G4" s="15">
        <v>1167500</v>
      </c>
      <c r="H4" s="15">
        <v>581700</v>
      </c>
      <c r="I4" s="20">
        <f t="shared" si="0"/>
        <v>49.824411134903642</v>
      </c>
      <c r="J4" s="15">
        <v>1163360</v>
      </c>
      <c r="K4" s="15">
        <f>G4-855360</f>
        <v>312140</v>
      </c>
      <c r="L4" s="15">
        <v>308000</v>
      </c>
      <c r="M4" s="30">
        <v>88</v>
      </c>
      <c r="N4" s="34">
        <v>114</v>
      </c>
      <c r="O4" s="39">
        <v>0.23</v>
      </c>
      <c r="P4" s="39">
        <v>0.23</v>
      </c>
      <c r="Q4" s="15">
        <f t="shared" si="1"/>
        <v>3547.0454545454545</v>
      </c>
      <c r="R4" s="15">
        <f t="shared" si="2"/>
        <v>1357130.4347826086</v>
      </c>
      <c r="S4" s="44">
        <f t="shared" si="3"/>
        <v>31.155427795744</v>
      </c>
      <c r="T4" s="39">
        <v>88</v>
      </c>
      <c r="U4" s="5" t="s">
        <v>35</v>
      </c>
      <c r="V4" t="s">
        <v>46</v>
      </c>
      <c r="X4" t="s">
        <v>37</v>
      </c>
      <c r="Y4">
        <v>0</v>
      </c>
      <c r="Z4">
        <v>1</v>
      </c>
      <c r="AA4" s="6">
        <v>45621</v>
      </c>
      <c r="AC4" s="7" t="s">
        <v>43</v>
      </c>
      <c r="AD4" t="s">
        <v>35</v>
      </c>
    </row>
    <row r="5" spans="1:51" x14ac:dyDescent="0.25">
      <c r="A5" t="s">
        <v>47</v>
      </c>
      <c r="B5" t="s">
        <v>48</v>
      </c>
      <c r="C5" s="25">
        <v>45071</v>
      </c>
      <c r="D5" s="15">
        <v>485000</v>
      </c>
      <c r="E5" t="s">
        <v>41</v>
      </c>
      <c r="F5" t="s">
        <v>34</v>
      </c>
      <c r="G5" s="15">
        <v>485000</v>
      </c>
      <c r="H5" s="15">
        <v>284500</v>
      </c>
      <c r="I5" s="20">
        <f t="shared" si="0"/>
        <v>58.659793814432994</v>
      </c>
      <c r="J5" s="15">
        <v>568903</v>
      </c>
      <c r="K5" s="15">
        <f>G5-288903</f>
        <v>196097</v>
      </c>
      <c r="L5" s="15">
        <v>280000</v>
      </c>
      <c r="M5" s="30">
        <v>80</v>
      </c>
      <c r="N5" s="34">
        <v>132</v>
      </c>
      <c r="O5" s="39">
        <v>0.48399999999999999</v>
      </c>
      <c r="P5" s="39">
        <v>0.24199999999999999</v>
      </c>
      <c r="Q5" s="15">
        <f t="shared" si="1"/>
        <v>2451.2125000000001</v>
      </c>
      <c r="R5" s="15">
        <f t="shared" si="2"/>
        <v>405159.09090909094</v>
      </c>
      <c r="S5" s="44">
        <f t="shared" si="3"/>
        <v>9.3011728858836307</v>
      </c>
      <c r="T5" s="39">
        <v>80</v>
      </c>
      <c r="U5" s="5" t="s">
        <v>35</v>
      </c>
      <c r="V5" t="s">
        <v>49</v>
      </c>
      <c r="X5" t="s">
        <v>37</v>
      </c>
      <c r="Y5">
        <v>0</v>
      </c>
      <c r="Z5">
        <v>1</v>
      </c>
      <c r="AA5" s="6">
        <v>45622</v>
      </c>
      <c r="AC5" s="7" t="s">
        <v>43</v>
      </c>
      <c r="AD5" t="s">
        <v>35</v>
      </c>
    </row>
    <row r="6" spans="1:51" x14ac:dyDescent="0.25">
      <c r="A6" t="s">
        <v>50</v>
      </c>
      <c r="B6" t="s">
        <v>51</v>
      </c>
      <c r="C6" s="25">
        <v>44834</v>
      </c>
      <c r="D6" s="15">
        <v>449000</v>
      </c>
      <c r="E6" t="s">
        <v>33</v>
      </c>
      <c r="F6" t="s">
        <v>34</v>
      </c>
      <c r="G6" s="15">
        <v>449000</v>
      </c>
      <c r="H6" s="15">
        <v>253300</v>
      </c>
      <c r="I6" s="20">
        <f t="shared" si="0"/>
        <v>56.414253897550118</v>
      </c>
      <c r="J6" s="15">
        <v>506509</v>
      </c>
      <c r="K6" s="15">
        <f>G6-321009</f>
        <v>127991</v>
      </c>
      <c r="L6" s="15">
        <v>185500</v>
      </c>
      <c r="M6" s="30">
        <v>53</v>
      </c>
      <c r="N6" s="34">
        <v>90</v>
      </c>
      <c r="O6" s="39">
        <v>0.22</v>
      </c>
      <c r="P6" s="39">
        <v>0.11</v>
      </c>
      <c r="Q6" s="15">
        <f t="shared" si="1"/>
        <v>2414.9245283018868</v>
      </c>
      <c r="R6" s="15">
        <f t="shared" si="2"/>
        <v>581777.27272727271</v>
      </c>
      <c r="S6" s="44">
        <f t="shared" si="3"/>
        <v>13.355768428082477</v>
      </c>
      <c r="T6" s="39">
        <v>53</v>
      </c>
      <c r="U6" s="5" t="s">
        <v>35</v>
      </c>
      <c r="V6" t="s">
        <v>52</v>
      </c>
      <c r="X6" t="s">
        <v>37</v>
      </c>
      <c r="Y6">
        <v>0</v>
      </c>
      <c r="Z6">
        <v>1</v>
      </c>
      <c r="AA6" s="6">
        <v>45622</v>
      </c>
      <c r="AC6" s="7" t="s">
        <v>43</v>
      </c>
      <c r="AD6" t="s">
        <v>35</v>
      </c>
    </row>
    <row r="7" spans="1:51" x14ac:dyDescent="0.25">
      <c r="A7" t="s">
        <v>53</v>
      </c>
      <c r="B7" t="s">
        <v>54</v>
      </c>
      <c r="C7" s="25">
        <v>44727</v>
      </c>
      <c r="D7" s="15">
        <v>610000</v>
      </c>
      <c r="E7" t="s">
        <v>33</v>
      </c>
      <c r="F7" t="s">
        <v>34</v>
      </c>
      <c r="G7" s="15">
        <v>610000</v>
      </c>
      <c r="H7" s="15">
        <v>281400</v>
      </c>
      <c r="I7" s="20">
        <f t="shared" si="0"/>
        <v>46.131147540983605</v>
      </c>
      <c r="J7" s="15">
        <v>562762</v>
      </c>
      <c r="K7" s="15">
        <f>G7-352762</f>
        <v>257238</v>
      </c>
      <c r="L7" s="15">
        <v>210000</v>
      </c>
      <c r="M7" s="30">
        <v>60</v>
      </c>
      <c r="N7" s="34">
        <v>132</v>
      </c>
      <c r="O7" s="39">
        <v>0.182</v>
      </c>
      <c r="P7" s="39">
        <v>0.182</v>
      </c>
      <c r="Q7" s="15">
        <f t="shared" si="1"/>
        <v>4287.3</v>
      </c>
      <c r="R7" s="15">
        <f t="shared" si="2"/>
        <v>1413395.6043956045</v>
      </c>
      <c r="S7" s="44">
        <f t="shared" si="3"/>
        <v>32.447098356189265</v>
      </c>
      <c r="T7" s="39">
        <v>60</v>
      </c>
      <c r="U7" s="5" t="s">
        <v>35</v>
      </c>
      <c r="V7" t="s">
        <v>55</v>
      </c>
      <c r="X7" t="s">
        <v>37</v>
      </c>
      <c r="Y7">
        <v>0</v>
      </c>
      <c r="Z7">
        <v>1</v>
      </c>
      <c r="AA7" s="6">
        <v>45582</v>
      </c>
      <c r="AC7" s="7" t="s">
        <v>43</v>
      </c>
      <c r="AD7" t="s">
        <v>35</v>
      </c>
    </row>
    <row r="8" spans="1:51" x14ac:dyDescent="0.25">
      <c r="A8" t="s">
        <v>56</v>
      </c>
      <c r="B8" t="s">
        <v>57</v>
      </c>
      <c r="C8" s="25">
        <v>44841</v>
      </c>
      <c r="D8" s="15">
        <v>875000</v>
      </c>
      <c r="E8" t="s">
        <v>33</v>
      </c>
      <c r="F8" t="s">
        <v>34</v>
      </c>
      <c r="G8" s="15">
        <v>875000</v>
      </c>
      <c r="H8" s="15">
        <v>500700</v>
      </c>
      <c r="I8" s="20">
        <f t="shared" si="0"/>
        <v>57.222857142857144</v>
      </c>
      <c r="J8" s="15">
        <v>1001474</v>
      </c>
      <c r="K8" s="15">
        <f>G8-699774</f>
        <v>175226</v>
      </c>
      <c r="L8" s="15">
        <v>301700</v>
      </c>
      <c r="M8" s="30">
        <v>86.2</v>
      </c>
      <c r="N8" s="34">
        <v>118.07308999999999</v>
      </c>
      <c r="O8" s="39">
        <v>0.30399999999999999</v>
      </c>
      <c r="P8" s="39">
        <v>0.30399999999999999</v>
      </c>
      <c r="Q8" s="15">
        <f t="shared" si="1"/>
        <v>2032.7842227378189</v>
      </c>
      <c r="R8" s="15">
        <f t="shared" si="2"/>
        <v>576401.31578947371</v>
      </c>
      <c r="S8" s="44">
        <f t="shared" si="3"/>
        <v>13.232353438693153</v>
      </c>
      <c r="T8" s="39">
        <v>86.2</v>
      </c>
      <c r="U8" s="5" t="s">
        <v>35</v>
      </c>
      <c r="V8" t="s">
        <v>58</v>
      </c>
      <c r="X8" t="s">
        <v>37</v>
      </c>
      <c r="Y8">
        <v>0</v>
      </c>
      <c r="Z8">
        <v>1</v>
      </c>
      <c r="AA8" s="6">
        <v>45582</v>
      </c>
      <c r="AC8" s="7" t="s">
        <v>43</v>
      </c>
      <c r="AD8" t="s">
        <v>35</v>
      </c>
      <c r="AE8" t="s">
        <v>35</v>
      </c>
    </row>
    <row r="9" spans="1:51" x14ac:dyDescent="0.25">
      <c r="A9" t="s">
        <v>59</v>
      </c>
      <c r="B9" t="s">
        <v>60</v>
      </c>
      <c r="C9" s="25">
        <v>45233</v>
      </c>
      <c r="D9" s="15">
        <v>925000</v>
      </c>
      <c r="E9" t="s">
        <v>33</v>
      </c>
      <c r="F9" t="s">
        <v>34</v>
      </c>
      <c r="G9" s="15">
        <v>925000</v>
      </c>
      <c r="H9" s="15">
        <v>480800</v>
      </c>
      <c r="I9" s="20">
        <f t="shared" si="0"/>
        <v>51.978378378378373</v>
      </c>
      <c r="J9" s="15">
        <v>961630</v>
      </c>
      <c r="K9" s="15">
        <f>G9-730630</f>
        <v>194370</v>
      </c>
      <c r="L9" s="15">
        <v>231000</v>
      </c>
      <c r="M9" s="30">
        <v>66</v>
      </c>
      <c r="N9" s="34">
        <v>132</v>
      </c>
      <c r="O9" s="39">
        <v>0.2</v>
      </c>
      <c r="P9" s="39">
        <v>0.2</v>
      </c>
      <c r="Q9" s="15">
        <f t="shared" si="1"/>
        <v>2945</v>
      </c>
      <c r="R9" s="15">
        <f t="shared" si="2"/>
        <v>971850</v>
      </c>
      <c r="S9" s="44">
        <f t="shared" si="3"/>
        <v>22.310606060606062</v>
      </c>
      <c r="T9" s="39">
        <v>66</v>
      </c>
      <c r="U9" s="5" t="s">
        <v>35</v>
      </c>
      <c r="V9" t="s">
        <v>61</v>
      </c>
      <c r="X9" t="s">
        <v>37</v>
      </c>
      <c r="Y9">
        <v>0</v>
      </c>
      <c r="Z9">
        <v>1</v>
      </c>
      <c r="AA9" s="6">
        <v>45582</v>
      </c>
      <c r="AC9" s="7" t="s">
        <v>43</v>
      </c>
      <c r="AD9" t="s">
        <v>35</v>
      </c>
    </row>
    <row r="10" spans="1:51" x14ac:dyDescent="0.25">
      <c r="A10" t="s">
        <v>67</v>
      </c>
      <c r="B10" t="s">
        <v>65</v>
      </c>
      <c r="C10" s="25">
        <v>44837</v>
      </c>
      <c r="D10" s="15">
        <v>575000</v>
      </c>
      <c r="E10" t="s">
        <v>33</v>
      </c>
      <c r="F10" t="s">
        <v>34</v>
      </c>
      <c r="G10" s="15">
        <v>575000</v>
      </c>
      <c r="H10" s="15">
        <v>286500</v>
      </c>
      <c r="I10" s="20">
        <f t="shared" si="0"/>
        <v>49.826086956521735</v>
      </c>
      <c r="J10" s="15">
        <v>573026</v>
      </c>
      <c r="K10" s="15">
        <f>G10-365126</f>
        <v>209874</v>
      </c>
      <c r="L10" s="15">
        <v>207900</v>
      </c>
      <c r="M10" s="30">
        <v>66</v>
      </c>
      <c r="N10" s="34">
        <v>132</v>
      </c>
      <c r="O10" s="39">
        <v>0.2</v>
      </c>
      <c r="P10" s="39">
        <v>0.2</v>
      </c>
      <c r="Q10" s="15">
        <f t="shared" si="1"/>
        <v>3179.909090909091</v>
      </c>
      <c r="R10" s="15">
        <f t="shared" si="2"/>
        <v>1049370</v>
      </c>
      <c r="S10" s="44">
        <f t="shared" si="3"/>
        <v>24.090220385674932</v>
      </c>
      <c r="T10" s="39">
        <v>66</v>
      </c>
      <c r="U10" s="5" t="s">
        <v>35</v>
      </c>
      <c r="V10" t="s">
        <v>66</v>
      </c>
      <c r="X10" t="s">
        <v>37</v>
      </c>
      <c r="Y10">
        <v>0</v>
      </c>
      <c r="Z10">
        <v>0</v>
      </c>
      <c r="AA10" s="6">
        <v>45603</v>
      </c>
      <c r="AC10" s="7" t="s">
        <v>43</v>
      </c>
      <c r="AD10" t="s">
        <v>35</v>
      </c>
    </row>
    <row r="11" spans="1:51" x14ac:dyDescent="0.25">
      <c r="A11" t="s">
        <v>68</v>
      </c>
      <c r="B11" t="s">
        <v>69</v>
      </c>
      <c r="C11" s="25">
        <v>44837</v>
      </c>
      <c r="D11" s="15">
        <v>200000</v>
      </c>
      <c r="E11" t="s">
        <v>33</v>
      </c>
      <c r="F11" t="s">
        <v>34</v>
      </c>
      <c r="G11" s="15">
        <v>200000</v>
      </c>
      <c r="H11" s="15">
        <v>104000</v>
      </c>
      <c r="I11" s="20">
        <f t="shared" si="0"/>
        <v>52</v>
      </c>
      <c r="J11" s="15">
        <v>207900</v>
      </c>
      <c r="K11" s="15">
        <f>G11-0</f>
        <v>200000</v>
      </c>
      <c r="L11" s="15">
        <v>207900</v>
      </c>
      <c r="M11" s="30">
        <v>66</v>
      </c>
      <c r="N11" s="34">
        <v>132</v>
      </c>
      <c r="O11" s="39">
        <v>0.2</v>
      </c>
      <c r="P11" s="39">
        <v>0.2</v>
      </c>
      <c r="Q11" s="15">
        <f t="shared" si="1"/>
        <v>3030.3030303030305</v>
      </c>
      <c r="R11" s="15">
        <f t="shared" si="2"/>
        <v>1000000</v>
      </c>
      <c r="S11" s="44">
        <f t="shared" si="3"/>
        <v>22.956841138659321</v>
      </c>
      <c r="T11" s="39">
        <v>66</v>
      </c>
      <c r="U11" s="5" t="s">
        <v>35</v>
      </c>
      <c r="V11" t="s">
        <v>70</v>
      </c>
      <c r="X11" t="s">
        <v>37</v>
      </c>
      <c r="Y11">
        <v>0</v>
      </c>
      <c r="Z11">
        <v>0</v>
      </c>
      <c r="AA11" s="6">
        <v>45603</v>
      </c>
      <c r="AC11" s="7" t="s">
        <v>43</v>
      </c>
      <c r="AD11" t="s">
        <v>35</v>
      </c>
    </row>
    <row r="12" spans="1:51" x14ac:dyDescent="0.25">
      <c r="A12" t="s">
        <v>71</v>
      </c>
      <c r="B12" t="s">
        <v>72</v>
      </c>
      <c r="C12" s="25">
        <v>45351</v>
      </c>
      <c r="D12" s="15">
        <v>810000</v>
      </c>
      <c r="E12" t="s">
        <v>73</v>
      </c>
      <c r="F12" t="s">
        <v>74</v>
      </c>
      <c r="G12" s="15">
        <v>810000</v>
      </c>
      <c r="H12" s="15">
        <v>447600</v>
      </c>
      <c r="I12" s="20">
        <f t="shared" si="0"/>
        <v>55.259259259259267</v>
      </c>
      <c r="J12" s="15">
        <v>895222</v>
      </c>
      <c r="K12" s="15">
        <f>G12-581937</f>
        <v>228063</v>
      </c>
      <c r="L12" s="15">
        <v>313285</v>
      </c>
      <c r="M12" s="30">
        <v>89.51</v>
      </c>
      <c r="N12" s="34">
        <v>132</v>
      </c>
      <c r="O12" s="39">
        <v>0.54200000000000004</v>
      </c>
      <c r="P12" s="39">
        <v>0.27100000000000002</v>
      </c>
      <c r="Q12" s="15">
        <f t="shared" si="1"/>
        <v>2547.9052619819013</v>
      </c>
      <c r="R12" s="15">
        <f t="shared" si="2"/>
        <v>420780.44280442799</v>
      </c>
      <c r="S12" s="44">
        <f t="shared" si="3"/>
        <v>9.6597897797159771</v>
      </c>
      <c r="T12" s="39">
        <v>89.51</v>
      </c>
      <c r="U12" s="5" t="s">
        <v>35</v>
      </c>
      <c r="V12" t="s">
        <v>75</v>
      </c>
      <c r="X12" t="s">
        <v>37</v>
      </c>
      <c r="Y12">
        <v>0</v>
      </c>
      <c r="Z12">
        <v>1</v>
      </c>
      <c r="AA12" s="6">
        <v>45597</v>
      </c>
      <c r="AC12" s="7" t="s">
        <v>43</v>
      </c>
      <c r="AD12" t="s">
        <v>35</v>
      </c>
    </row>
    <row r="13" spans="1:51" x14ac:dyDescent="0.25">
      <c r="A13" t="s">
        <v>76</v>
      </c>
      <c r="B13" t="s">
        <v>77</v>
      </c>
      <c r="C13" s="25">
        <v>44687</v>
      </c>
      <c r="D13" s="15">
        <v>469900</v>
      </c>
      <c r="E13" t="s">
        <v>33</v>
      </c>
      <c r="F13" t="s">
        <v>34</v>
      </c>
      <c r="G13" s="15">
        <v>469900</v>
      </c>
      <c r="H13" s="15">
        <v>246600</v>
      </c>
      <c r="I13" s="20">
        <f t="shared" si="0"/>
        <v>52.479250904447753</v>
      </c>
      <c r="J13" s="15">
        <v>493145</v>
      </c>
      <c r="K13" s="15">
        <f>G13-262145</f>
        <v>207755</v>
      </c>
      <c r="L13" s="15">
        <v>231000</v>
      </c>
      <c r="M13" s="30">
        <v>66</v>
      </c>
      <c r="N13" s="34">
        <v>132</v>
      </c>
      <c r="O13" s="39">
        <v>0.2</v>
      </c>
      <c r="P13" s="39">
        <v>0.2</v>
      </c>
      <c r="Q13" s="15">
        <f t="shared" si="1"/>
        <v>3147.8030303030305</v>
      </c>
      <c r="R13" s="15">
        <f t="shared" si="2"/>
        <v>1038775</v>
      </c>
      <c r="S13" s="44">
        <f t="shared" si="3"/>
        <v>23.846992653810837</v>
      </c>
      <c r="T13" s="39">
        <v>66</v>
      </c>
      <c r="U13" s="5" t="s">
        <v>35</v>
      </c>
      <c r="V13" t="s">
        <v>78</v>
      </c>
      <c r="X13" t="s">
        <v>37</v>
      </c>
      <c r="Y13">
        <v>0</v>
      </c>
      <c r="Z13">
        <v>1</v>
      </c>
      <c r="AA13" s="6">
        <v>45582</v>
      </c>
      <c r="AC13" s="7" t="s">
        <v>43</v>
      </c>
      <c r="AD13" t="s">
        <v>35</v>
      </c>
    </row>
    <row r="14" spans="1:51" x14ac:dyDescent="0.25">
      <c r="A14" t="s">
        <v>88</v>
      </c>
      <c r="B14" t="s">
        <v>89</v>
      </c>
      <c r="C14" s="25">
        <v>44725</v>
      </c>
      <c r="D14" s="15">
        <v>575000</v>
      </c>
      <c r="E14" t="s">
        <v>33</v>
      </c>
      <c r="F14" t="s">
        <v>34</v>
      </c>
      <c r="G14" s="15">
        <v>575000</v>
      </c>
      <c r="H14" s="15">
        <v>286900</v>
      </c>
      <c r="I14" s="20">
        <f t="shared" si="0"/>
        <v>49.895652173913042</v>
      </c>
      <c r="J14" s="15">
        <v>573885</v>
      </c>
      <c r="K14" s="15">
        <f>G14-354435</f>
        <v>220565</v>
      </c>
      <c r="L14" s="15">
        <v>219450</v>
      </c>
      <c r="M14" s="30">
        <v>66</v>
      </c>
      <c r="N14" s="34">
        <v>132</v>
      </c>
      <c r="O14" s="39">
        <v>0.2</v>
      </c>
      <c r="P14" s="39">
        <v>0.2</v>
      </c>
      <c r="Q14" s="15">
        <f t="shared" si="1"/>
        <v>3341.8939393939395</v>
      </c>
      <c r="R14" s="15">
        <f t="shared" si="2"/>
        <v>1102825</v>
      </c>
      <c r="S14" s="44">
        <f t="shared" si="3"/>
        <v>25.317378328741967</v>
      </c>
      <c r="T14" s="39">
        <v>66</v>
      </c>
      <c r="U14" s="5" t="s">
        <v>35</v>
      </c>
      <c r="V14" t="s">
        <v>90</v>
      </c>
      <c r="X14" t="s">
        <v>37</v>
      </c>
      <c r="Y14">
        <v>0</v>
      </c>
      <c r="Z14">
        <v>1</v>
      </c>
      <c r="AA14" s="6">
        <v>45582</v>
      </c>
      <c r="AC14" s="7" t="s">
        <v>43</v>
      </c>
      <c r="AD14" t="s">
        <v>35</v>
      </c>
    </row>
    <row r="15" spans="1:51" x14ac:dyDescent="0.25">
      <c r="A15" t="s">
        <v>91</v>
      </c>
      <c r="B15" t="s">
        <v>92</v>
      </c>
      <c r="C15" s="25">
        <v>44845</v>
      </c>
      <c r="D15" s="15">
        <v>775000</v>
      </c>
      <c r="E15" t="s">
        <v>33</v>
      </c>
      <c r="F15" t="s">
        <v>34</v>
      </c>
      <c r="G15" s="15">
        <v>775000</v>
      </c>
      <c r="H15" s="15">
        <v>341500</v>
      </c>
      <c r="I15" s="20">
        <f t="shared" si="0"/>
        <v>44.064516129032263</v>
      </c>
      <c r="J15" s="15">
        <v>682989</v>
      </c>
      <c r="K15" s="15">
        <f>G15-463539</f>
        <v>311461</v>
      </c>
      <c r="L15" s="15">
        <v>219450</v>
      </c>
      <c r="M15" s="30">
        <v>66</v>
      </c>
      <c r="N15" s="34">
        <v>132</v>
      </c>
      <c r="O15" s="39">
        <v>0.2</v>
      </c>
      <c r="P15" s="39">
        <v>0.2</v>
      </c>
      <c r="Q15" s="15">
        <f t="shared" si="1"/>
        <v>4719.106060606061</v>
      </c>
      <c r="R15" s="15">
        <f t="shared" si="2"/>
        <v>1557305</v>
      </c>
      <c r="S15" s="44">
        <f t="shared" si="3"/>
        <v>35.750803489439853</v>
      </c>
      <c r="T15" s="39">
        <v>66</v>
      </c>
      <c r="U15" s="5" t="s">
        <v>35</v>
      </c>
      <c r="X15" t="s">
        <v>37</v>
      </c>
      <c r="Y15">
        <v>0</v>
      </c>
      <c r="Z15">
        <v>1</v>
      </c>
      <c r="AA15" s="6">
        <v>45582</v>
      </c>
      <c r="AC15" s="7" t="s">
        <v>43</v>
      </c>
      <c r="AD15" t="s">
        <v>35</v>
      </c>
    </row>
    <row r="16" spans="1:51" x14ac:dyDescent="0.25">
      <c r="A16" t="s">
        <v>93</v>
      </c>
      <c r="B16" t="s">
        <v>94</v>
      </c>
      <c r="C16" s="25">
        <v>45161</v>
      </c>
      <c r="D16" s="15">
        <v>669000</v>
      </c>
      <c r="E16" t="s">
        <v>33</v>
      </c>
      <c r="F16" t="s">
        <v>34</v>
      </c>
      <c r="G16" s="15">
        <v>669000</v>
      </c>
      <c r="H16" s="15">
        <v>309100</v>
      </c>
      <c r="I16" s="20">
        <f t="shared" si="0"/>
        <v>46.203288490284002</v>
      </c>
      <c r="J16" s="15">
        <v>618147</v>
      </c>
      <c r="K16" s="15">
        <f>G16-331147</f>
        <v>337853</v>
      </c>
      <c r="L16" s="15">
        <v>287000</v>
      </c>
      <c r="M16" s="30">
        <v>82</v>
      </c>
      <c r="N16" s="34">
        <v>132</v>
      </c>
      <c r="O16" s="39">
        <v>0.248</v>
      </c>
      <c r="P16" s="39">
        <v>0.248</v>
      </c>
      <c r="Q16" s="15">
        <f t="shared" si="1"/>
        <v>4120.1585365853662</v>
      </c>
      <c r="R16" s="15">
        <f t="shared" si="2"/>
        <v>1362310.4838709678</v>
      </c>
      <c r="S16" s="44">
        <f t="shared" si="3"/>
        <v>31.274345359755916</v>
      </c>
      <c r="T16" s="39">
        <v>82</v>
      </c>
      <c r="U16" s="5" t="s">
        <v>35</v>
      </c>
      <c r="V16" t="s">
        <v>95</v>
      </c>
      <c r="X16" t="s">
        <v>37</v>
      </c>
      <c r="Y16">
        <v>0</v>
      </c>
      <c r="Z16">
        <v>1</v>
      </c>
      <c r="AA16" s="6">
        <v>45597</v>
      </c>
      <c r="AC16" s="7" t="s">
        <v>43</v>
      </c>
      <c r="AD16" t="s">
        <v>35</v>
      </c>
    </row>
    <row r="17" spans="1:31" x14ac:dyDescent="0.25">
      <c r="A17" t="s">
        <v>96</v>
      </c>
      <c r="B17" t="s">
        <v>97</v>
      </c>
      <c r="C17" s="25">
        <v>45272</v>
      </c>
      <c r="D17" s="15">
        <v>590000</v>
      </c>
      <c r="E17" t="s">
        <v>33</v>
      </c>
      <c r="F17" t="s">
        <v>34</v>
      </c>
      <c r="G17" s="15">
        <v>590000</v>
      </c>
      <c r="H17" s="15">
        <v>234700</v>
      </c>
      <c r="I17" s="20">
        <f t="shared" si="0"/>
        <v>39.779661016949156</v>
      </c>
      <c r="J17" s="15">
        <v>469352</v>
      </c>
      <c r="K17" s="15">
        <f>G17-234117</f>
        <v>355883</v>
      </c>
      <c r="L17" s="15">
        <v>235235</v>
      </c>
      <c r="M17" s="30">
        <v>133.1</v>
      </c>
      <c r="N17" s="34">
        <v>65.067786999999996</v>
      </c>
      <c r="O17" s="39">
        <v>0.152</v>
      </c>
      <c r="P17" s="39">
        <v>0.152</v>
      </c>
      <c r="Q17" s="15">
        <f t="shared" si="1"/>
        <v>2673.8016528925623</v>
      </c>
      <c r="R17" s="15">
        <f t="shared" si="2"/>
        <v>2341335.5263157897</v>
      </c>
      <c r="S17" s="44">
        <f t="shared" si="3"/>
        <v>53.749667729930891</v>
      </c>
      <c r="T17" s="39">
        <v>133.1</v>
      </c>
      <c r="U17" s="5" t="s">
        <v>35</v>
      </c>
      <c r="V17" t="s">
        <v>98</v>
      </c>
      <c r="X17" t="s">
        <v>37</v>
      </c>
      <c r="Y17">
        <v>0</v>
      </c>
      <c r="Z17">
        <v>1</v>
      </c>
      <c r="AA17" s="6">
        <v>45597</v>
      </c>
      <c r="AC17" s="7" t="s">
        <v>43</v>
      </c>
      <c r="AD17" t="s">
        <v>35</v>
      </c>
      <c r="AE17" t="s">
        <v>35</v>
      </c>
    </row>
    <row r="18" spans="1:31" x14ac:dyDescent="0.25">
      <c r="A18" t="s">
        <v>105</v>
      </c>
      <c r="B18" t="s">
        <v>106</v>
      </c>
      <c r="C18" s="25">
        <v>45182</v>
      </c>
      <c r="D18" s="15">
        <v>1275000</v>
      </c>
      <c r="E18" t="s">
        <v>33</v>
      </c>
      <c r="F18" t="s">
        <v>34</v>
      </c>
      <c r="G18" s="15">
        <v>1275000</v>
      </c>
      <c r="H18" s="15">
        <v>613800</v>
      </c>
      <c r="I18" s="20">
        <f t="shared" si="0"/>
        <v>48.141176470588235</v>
      </c>
      <c r="J18" s="15">
        <v>1227531</v>
      </c>
      <c r="K18" s="15">
        <f>G18-996531</f>
        <v>278469</v>
      </c>
      <c r="L18" s="15">
        <v>231000</v>
      </c>
      <c r="M18" s="30">
        <v>66</v>
      </c>
      <c r="N18" s="34">
        <v>132</v>
      </c>
      <c r="O18" s="39">
        <v>0.2</v>
      </c>
      <c r="P18" s="39">
        <v>0.2</v>
      </c>
      <c r="Q18" s="15">
        <f t="shared" si="1"/>
        <v>4219.227272727273</v>
      </c>
      <c r="R18" s="15">
        <f t="shared" si="2"/>
        <v>1392345</v>
      </c>
      <c r="S18" s="44">
        <f t="shared" si="3"/>
        <v>31.96384297520661</v>
      </c>
      <c r="T18" s="39">
        <v>66</v>
      </c>
      <c r="U18" s="5" t="s">
        <v>35</v>
      </c>
      <c r="V18" t="s">
        <v>107</v>
      </c>
      <c r="X18" t="s">
        <v>37</v>
      </c>
      <c r="Y18">
        <v>0</v>
      </c>
      <c r="Z18">
        <v>0</v>
      </c>
      <c r="AA18" s="6">
        <v>45597</v>
      </c>
      <c r="AC18" s="7" t="s">
        <v>43</v>
      </c>
      <c r="AD18" t="s">
        <v>35</v>
      </c>
    </row>
    <row r="19" spans="1:31" x14ac:dyDescent="0.25">
      <c r="A19" t="s">
        <v>114</v>
      </c>
      <c r="B19" t="s">
        <v>115</v>
      </c>
      <c r="C19" s="25">
        <v>44802</v>
      </c>
      <c r="D19" s="15">
        <v>425000</v>
      </c>
      <c r="E19" t="s">
        <v>33</v>
      </c>
      <c r="F19" t="s">
        <v>34</v>
      </c>
      <c r="G19" s="15">
        <v>425000</v>
      </c>
      <c r="H19" s="15">
        <v>275300</v>
      </c>
      <c r="I19" s="20">
        <f t="shared" si="0"/>
        <v>64.776470588235284</v>
      </c>
      <c r="J19" s="15">
        <v>550565</v>
      </c>
      <c r="K19" s="15">
        <f>G19-256040</f>
        <v>168960</v>
      </c>
      <c r="L19" s="15">
        <v>294525</v>
      </c>
      <c r="M19" s="30">
        <v>67.319999999999993</v>
      </c>
      <c r="N19" s="34">
        <v>100</v>
      </c>
      <c r="O19" s="39">
        <v>0.155</v>
      </c>
      <c r="P19" s="39">
        <v>0.155</v>
      </c>
      <c r="Q19" s="15">
        <f t="shared" si="1"/>
        <v>2509.8039215686276</v>
      </c>
      <c r="R19" s="15">
        <f t="shared" si="2"/>
        <v>1090064.5161290322</v>
      </c>
      <c r="S19" s="44">
        <f t="shared" si="3"/>
        <v>25.024437927663733</v>
      </c>
      <c r="T19" s="39">
        <v>67.319999999999993</v>
      </c>
      <c r="U19" s="5" t="s">
        <v>35</v>
      </c>
      <c r="V19" t="s">
        <v>116</v>
      </c>
      <c r="X19" t="s">
        <v>37</v>
      </c>
      <c r="Y19">
        <v>0</v>
      </c>
      <c r="Z19">
        <v>1</v>
      </c>
      <c r="AA19" s="6">
        <v>45597</v>
      </c>
      <c r="AC19" s="7" t="s">
        <v>43</v>
      </c>
      <c r="AD19" t="s">
        <v>35</v>
      </c>
    </row>
    <row r="20" spans="1:31" x14ac:dyDescent="0.25">
      <c r="A20" t="s">
        <v>117</v>
      </c>
      <c r="B20" t="s">
        <v>118</v>
      </c>
      <c r="C20" s="25">
        <v>45014</v>
      </c>
      <c r="D20" s="15">
        <v>440000</v>
      </c>
      <c r="E20" t="s">
        <v>33</v>
      </c>
      <c r="F20" t="s">
        <v>34</v>
      </c>
      <c r="G20" s="15">
        <v>440000</v>
      </c>
      <c r="H20" s="15">
        <v>242000</v>
      </c>
      <c r="I20" s="20">
        <f t="shared" si="0"/>
        <v>55.000000000000007</v>
      </c>
      <c r="J20" s="15">
        <v>484021</v>
      </c>
      <c r="K20" s="15">
        <f>G20-246021</f>
        <v>193979</v>
      </c>
      <c r="L20" s="15">
        <v>238000</v>
      </c>
      <c r="M20" s="30">
        <v>70</v>
      </c>
      <c r="N20" s="34">
        <v>130</v>
      </c>
      <c r="O20" s="39">
        <v>0.20899999999999999</v>
      </c>
      <c r="P20" s="39">
        <v>0.20899999999999999</v>
      </c>
      <c r="Q20" s="15">
        <f t="shared" si="1"/>
        <v>2771.1285714285714</v>
      </c>
      <c r="R20" s="15">
        <f t="shared" si="2"/>
        <v>928129.18660287082</v>
      </c>
      <c r="S20" s="44">
        <f t="shared" si="3"/>
        <v>21.306914292995199</v>
      </c>
      <c r="T20" s="39">
        <v>70</v>
      </c>
      <c r="U20" s="5" t="s">
        <v>35</v>
      </c>
      <c r="V20" t="s">
        <v>119</v>
      </c>
      <c r="X20" t="s">
        <v>37</v>
      </c>
      <c r="Y20">
        <v>0</v>
      </c>
      <c r="Z20">
        <v>1</v>
      </c>
      <c r="AA20" s="6">
        <v>45597</v>
      </c>
      <c r="AC20" s="7" t="s">
        <v>43</v>
      </c>
      <c r="AD20" t="s">
        <v>120</v>
      </c>
    </row>
    <row r="21" spans="1:31" x14ac:dyDescent="0.25">
      <c r="A21" t="s">
        <v>121</v>
      </c>
      <c r="B21" t="s">
        <v>122</v>
      </c>
      <c r="C21" s="25">
        <v>44840</v>
      </c>
      <c r="D21" s="15">
        <v>925000</v>
      </c>
      <c r="E21" t="s">
        <v>33</v>
      </c>
      <c r="F21" t="s">
        <v>34</v>
      </c>
      <c r="G21" s="15">
        <v>925000</v>
      </c>
      <c r="H21" s="15">
        <v>363600</v>
      </c>
      <c r="I21" s="20">
        <f t="shared" si="0"/>
        <v>39.308108108108108</v>
      </c>
      <c r="J21" s="15">
        <v>727246</v>
      </c>
      <c r="K21" s="15">
        <f>G21-510683</f>
        <v>414317</v>
      </c>
      <c r="L21" s="15">
        <v>216563</v>
      </c>
      <c r="M21" s="30">
        <v>134.63999999999999</v>
      </c>
      <c r="N21" s="34">
        <v>146.76470900000001</v>
      </c>
      <c r="O21" s="39">
        <v>0.23899999999999999</v>
      </c>
      <c r="P21" s="39">
        <v>0.23899999999999999</v>
      </c>
      <c r="Q21" s="15">
        <f t="shared" si="1"/>
        <v>3077.2207367795604</v>
      </c>
      <c r="R21" s="15">
        <f t="shared" si="2"/>
        <v>1733543.9330543934</v>
      </c>
      <c r="S21" s="44">
        <f t="shared" si="3"/>
        <v>39.796692678016377</v>
      </c>
      <c r="T21" s="39">
        <v>134.63999999999999</v>
      </c>
      <c r="U21" s="5" t="s">
        <v>35</v>
      </c>
      <c r="V21" t="s">
        <v>123</v>
      </c>
      <c r="X21" t="s">
        <v>37</v>
      </c>
      <c r="Y21">
        <v>0</v>
      </c>
      <c r="Z21">
        <v>1</v>
      </c>
      <c r="AA21" s="6">
        <v>45597</v>
      </c>
      <c r="AC21" s="7" t="s">
        <v>43</v>
      </c>
      <c r="AD21" t="s">
        <v>35</v>
      </c>
      <c r="AE21" t="s">
        <v>35</v>
      </c>
    </row>
    <row r="22" spans="1:31" ht="15.75" thickBot="1" x14ac:dyDescent="0.3">
      <c r="A22" t="s">
        <v>124</v>
      </c>
      <c r="B22" t="s">
        <v>125</v>
      </c>
      <c r="C22" s="25">
        <v>44826</v>
      </c>
      <c r="D22" s="15">
        <v>499900</v>
      </c>
      <c r="E22" t="s">
        <v>33</v>
      </c>
      <c r="F22" t="s">
        <v>34</v>
      </c>
      <c r="G22" s="15">
        <v>499900</v>
      </c>
      <c r="H22" s="15">
        <v>355800</v>
      </c>
      <c r="I22" s="20">
        <f t="shared" si="0"/>
        <v>71.174234846969398</v>
      </c>
      <c r="J22" s="15">
        <v>711554</v>
      </c>
      <c r="K22" s="15">
        <f>G22-186554</f>
        <v>313346</v>
      </c>
      <c r="L22" s="15">
        <v>525000</v>
      </c>
      <c r="M22" s="30">
        <v>150</v>
      </c>
      <c r="N22" s="34">
        <v>104</v>
      </c>
      <c r="O22" s="39">
        <v>0.35799999999999998</v>
      </c>
      <c r="P22" s="39">
        <v>0.35799999999999998</v>
      </c>
      <c r="Q22" s="15">
        <f t="shared" si="1"/>
        <v>2088.9733333333334</v>
      </c>
      <c r="R22" s="15">
        <f t="shared" si="2"/>
        <v>875268.15642458107</v>
      </c>
      <c r="S22" s="44">
        <f t="shared" si="3"/>
        <v>20.093392020766323</v>
      </c>
      <c r="T22" s="39">
        <v>150</v>
      </c>
      <c r="U22" s="5" t="s">
        <v>35</v>
      </c>
      <c r="V22" t="s">
        <v>126</v>
      </c>
      <c r="X22" t="s">
        <v>37</v>
      </c>
      <c r="Y22">
        <v>0</v>
      </c>
      <c r="Z22">
        <v>1</v>
      </c>
      <c r="AA22" s="6">
        <v>45597</v>
      </c>
      <c r="AC22" s="7" t="s">
        <v>43</v>
      </c>
      <c r="AD22" t="s">
        <v>35</v>
      </c>
    </row>
    <row r="23" spans="1:31" ht="15.75" thickTop="1" x14ac:dyDescent="0.25">
      <c r="A23" s="8"/>
      <c r="B23" s="8"/>
      <c r="C23" s="26" t="s">
        <v>127</v>
      </c>
      <c r="D23" s="16">
        <f>+SUM(D3:D22)</f>
        <v>13015300</v>
      </c>
      <c r="E23" s="8"/>
      <c r="F23" s="8"/>
      <c r="G23" s="16">
        <f>+SUM(G3:G22)</f>
        <v>13015300</v>
      </c>
      <c r="H23" s="16">
        <f>+SUM(H3:H22)</f>
        <v>6705100</v>
      </c>
      <c r="I23" s="21"/>
      <c r="J23" s="16">
        <f>+SUM(J3:J22)</f>
        <v>13409721</v>
      </c>
      <c r="K23" s="16">
        <f>+SUM(K3:K22)</f>
        <v>4978587</v>
      </c>
      <c r="L23" s="16">
        <f>+SUM(L3:L22)</f>
        <v>5373008</v>
      </c>
      <c r="M23" s="31">
        <f>+SUM(M3:M22)</f>
        <v>1678.77</v>
      </c>
      <c r="N23" s="35"/>
      <c r="O23" s="40">
        <f>+SUM(O3:O22)</f>
        <v>5.98</v>
      </c>
      <c r="P23" s="40">
        <f>+SUM(P3:P22)</f>
        <v>5.3570000000000002</v>
      </c>
      <c r="Q23" s="16"/>
      <c r="R23" s="16"/>
      <c r="S23" s="45"/>
      <c r="T23" s="40"/>
      <c r="U23" s="9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x14ac:dyDescent="0.25">
      <c r="A24" s="10"/>
      <c r="B24" s="10"/>
      <c r="C24" s="27"/>
      <c r="D24" s="17"/>
      <c r="E24" s="10"/>
      <c r="F24" s="10"/>
      <c r="G24" s="17"/>
      <c r="H24" s="17" t="s">
        <v>128</v>
      </c>
      <c r="I24" s="22">
        <f>H23/G23*100</f>
        <v>51.517060690110874</v>
      </c>
      <c r="J24" s="17"/>
      <c r="K24" s="17"/>
      <c r="L24" s="17" t="s">
        <v>129</v>
      </c>
      <c r="M24" s="32"/>
      <c r="N24" s="36"/>
      <c r="O24" s="41" t="s">
        <v>129</v>
      </c>
      <c r="P24" s="41"/>
      <c r="Q24" s="17"/>
      <c r="R24" s="17" t="s">
        <v>129</v>
      </c>
      <c r="S24" s="46"/>
      <c r="T24" s="41"/>
      <c r="U24" s="11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x14ac:dyDescent="0.25">
      <c r="A25" s="12"/>
      <c r="B25" s="12"/>
      <c r="C25" s="28"/>
      <c r="D25" s="18"/>
      <c r="E25" s="12"/>
      <c r="F25" s="12"/>
      <c r="G25" s="18"/>
      <c r="H25" s="18" t="s">
        <v>130</v>
      </c>
      <c r="I25" s="23">
        <f>STDEV(I3:I22)</f>
        <v>9.6473642710273477</v>
      </c>
      <c r="J25" s="18"/>
      <c r="K25" s="18"/>
      <c r="L25" s="18" t="s">
        <v>131</v>
      </c>
      <c r="M25" s="48">
        <f>K23/M23</f>
        <v>2965.6158973534193</v>
      </c>
      <c r="N25" s="37"/>
      <c r="O25" s="42" t="s">
        <v>132</v>
      </c>
      <c r="P25" s="42">
        <f>K23/O23</f>
        <v>832539.63210702338</v>
      </c>
      <c r="Q25" s="18"/>
      <c r="R25" s="18" t="s">
        <v>133</v>
      </c>
      <c r="S25" s="47">
        <f>K23/O23/43560</f>
        <v>19.11248007591881</v>
      </c>
      <c r="T25" s="42"/>
      <c r="U25" s="13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8" spans="1:31" x14ac:dyDescent="0.25">
      <c r="K28" s="51" t="s">
        <v>136</v>
      </c>
      <c r="L28" s="51"/>
      <c r="M28" s="51"/>
    </row>
    <row r="33" spans="1:31" x14ac:dyDescent="0.25">
      <c r="A33" s="49" t="s">
        <v>134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 x14ac:dyDescent="0.25">
      <c r="A34" t="s">
        <v>62</v>
      </c>
      <c r="B34" t="s">
        <v>63</v>
      </c>
      <c r="C34" s="25">
        <v>45301</v>
      </c>
      <c r="D34" s="15">
        <v>400000</v>
      </c>
      <c r="E34" t="s">
        <v>33</v>
      </c>
      <c r="F34" t="s">
        <v>34</v>
      </c>
      <c r="G34" s="15">
        <v>400000</v>
      </c>
      <c r="H34" s="15">
        <v>381900</v>
      </c>
      <c r="I34" s="20">
        <f t="shared" ref="I34:I44" si="4">H34/G34*100</f>
        <v>95.474999999999994</v>
      </c>
      <c r="J34" s="15">
        <v>763777</v>
      </c>
      <c r="K34" s="15">
        <f>G34-361277</f>
        <v>38723</v>
      </c>
      <c r="L34" s="15">
        <v>402500</v>
      </c>
      <c r="M34" s="30">
        <v>115</v>
      </c>
      <c r="N34" s="34">
        <v>104.12339</v>
      </c>
      <c r="O34" s="39">
        <v>0.27500000000000002</v>
      </c>
      <c r="P34" s="39">
        <v>0.27500000000000002</v>
      </c>
      <c r="Q34" s="15">
        <f t="shared" ref="Q34:Q44" si="5">K34/M34</f>
        <v>336.7217391304348</v>
      </c>
      <c r="R34" s="15">
        <f t="shared" ref="R34:R44" si="6">K34/O34</f>
        <v>140810.90909090909</v>
      </c>
      <c r="S34" s="44">
        <f t="shared" ref="S34:S44" si="7">K34/O34/43560</f>
        <v>3.2325736705901993</v>
      </c>
      <c r="T34" s="39">
        <v>115</v>
      </c>
      <c r="U34" s="5" t="s">
        <v>35</v>
      </c>
      <c r="V34" t="s">
        <v>64</v>
      </c>
      <c r="X34" t="s">
        <v>37</v>
      </c>
      <c r="Y34">
        <v>0</v>
      </c>
      <c r="Z34">
        <v>1</v>
      </c>
      <c r="AA34" s="6">
        <v>45582</v>
      </c>
      <c r="AC34" s="7" t="s">
        <v>43</v>
      </c>
      <c r="AD34" t="s">
        <v>35</v>
      </c>
      <c r="AE34" t="s">
        <v>35</v>
      </c>
    </row>
    <row r="35" spans="1:31" x14ac:dyDescent="0.25">
      <c r="A35" t="s">
        <v>99</v>
      </c>
      <c r="B35" t="s">
        <v>100</v>
      </c>
      <c r="C35" s="25">
        <v>44995</v>
      </c>
      <c r="D35" s="15">
        <v>695000</v>
      </c>
      <c r="E35" t="s">
        <v>33</v>
      </c>
      <c r="F35" t="s">
        <v>34</v>
      </c>
      <c r="G35" s="15">
        <v>695000</v>
      </c>
      <c r="H35" s="15">
        <v>492700</v>
      </c>
      <c r="I35" s="20">
        <f t="shared" si="4"/>
        <v>70.892086330935257</v>
      </c>
      <c r="J35" s="15">
        <v>985471</v>
      </c>
      <c r="K35" s="15">
        <f>G35-687971</f>
        <v>7029</v>
      </c>
      <c r="L35" s="15">
        <v>297500</v>
      </c>
      <c r="M35" s="30">
        <v>85</v>
      </c>
      <c r="N35" s="34">
        <v>99</v>
      </c>
      <c r="O35" s="39">
        <v>0.193</v>
      </c>
      <c r="P35" s="39">
        <v>0.193</v>
      </c>
      <c r="Q35" s="15">
        <f t="shared" si="5"/>
        <v>82.694117647058818</v>
      </c>
      <c r="R35" s="15">
        <f t="shared" si="6"/>
        <v>36419.68911917098</v>
      </c>
      <c r="S35" s="44">
        <f t="shared" si="7"/>
        <v>0.83608101742816754</v>
      </c>
      <c r="T35" s="39">
        <v>85</v>
      </c>
      <c r="U35" s="5" t="s">
        <v>35</v>
      </c>
      <c r="V35" t="s">
        <v>101</v>
      </c>
      <c r="X35" t="s">
        <v>37</v>
      </c>
      <c r="Y35">
        <v>0</v>
      </c>
      <c r="Z35">
        <v>1</v>
      </c>
      <c r="AA35" s="6">
        <v>45597</v>
      </c>
      <c r="AC35" s="7" t="s">
        <v>43</v>
      </c>
      <c r="AD35" t="s">
        <v>35</v>
      </c>
    </row>
    <row r="36" spans="1:31" x14ac:dyDescent="0.25">
      <c r="A36" t="s">
        <v>102</v>
      </c>
      <c r="B36" t="s">
        <v>103</v>
      </c>
      <c r="C36" s="25">
        <v>44802</v>
      </c>
      <c r="D36" s="15">
        <v>777700</v>
      </c>
      <c r="E36" t="s">
        <v>33</v>
      </c>
      <c r="F36" t="s">
        <v>34</v>
      </c>
      <c r="G36" s="15">
        <v>777700</v>
      </c>
      <c r="H36" s="15">
        <v>518300</v>
      </c>
      <c r="I36" s="20">
        <f t="shared" si="4"/>
        <v>66.645235952166644</v>
      </c>
      <c r="J36" s="15">
        <v>1036570</v>
      </c>
      <c r="K36" s="15">
        <f>G36-697070</f>
        <v>80630</v>
      </c>
      <c r="L36" s="15">
        <v>339500</v>
      </c>
      <c r="M36" s="30">
        <v>97</v>
      </c>
      <c r="N36" s="34">
        <v>231</v>
      </c>
      <c r="O36" s="39">
        <v>0.51400000000000001</v>
      </c>
      <c r="P36" s="39">
        <v>0.51400000000000001</v>
      </c>
      <c r="Q36" s="15">
        <f t="shared" si="5"/>
        <v>831.23711340206182</v>
      </c>
      <c r="R36" s="15">
        <f t="shared" si="6"/>
        <v>156867.70428015565</v>
      </c>
      <c r="S36" s="44">
        <f t="shared" si="7"/>
        <v>3.6011869669457219</v>
      </c>
      <c r="T36" s="39">
        <v>97</v>
      </c>
      <c r="U36" s="5" t="s">
        <v>35</v>
      </c>
      <c r="V36" t="s">
        <v>104</v>
      </c>
      <c r="X36" t="s">
        <v>37</v>
      </c>
      <c r="Y36">
        <v>0</v>
      </c>
      <c r="Z36">
        <v>1</v>
      </c>
      <c r="AA36" s="6">
        <v>45597</v>
      </c>
      <c r="AC36" s="7" t="s">
        <v>43</v>
      </c>
      <c r="AD36" t="s">
        <v>35</v>
      </c>
    </row>
    <row r="37" spans="1:31" x14ac:dyDescent="0.25">
      <c r="A37" t="s">
        <v>108</v>
      </c>
      <c r="B37" t="s">
        <v>109</v>
      </c>
      <c r="C37" s="25">
        <v>45094</v>
      </c>
      <c r="D37" s="15">
        <v>795000</v>
      </c>
      <c r="E37" t="s">
        <v>33</v>
      </c>
      <c r="F37" t="s">
        <v>34</v>
      </c>
      <c r="G37" s="15">
        <v>795000</v>
      </c>
      <c r="H37" s="15">
        <v>495900</v>
      </c>
      <c r="I37" s="20">
        <f t="shared" si="4"/>
        <v>62.377358490566039</v>
      </c>
      <c r="J37" s="15">
        <v>991789</v>
      </c>
      <c r="K37" s="15">
        <f>G37-760999</f>
        <v>34001</v>
      </c>
      <c r="L37" s="15">
        <v>230790</v>
      </c>
      <c r="M37" s="30">
        <v>65.94</v>
      </c>
      <c r="N37" s="34">
        <v>138.83999600000001</v>
      </c>
      <c r="O37" s="39">
        <v>0.21</v>
      </c>
      <c r="P37" s="39">
        <v>0.21</v>
      </c>
      <c r="Q37" s="15">
        <f t="shared" si="5"/>
        <v>515.63542614498033</v>
      </c>
      <c r="R37" s="15">
        <f t="shared" si="6"/>
        <v>161909.52380952382</v>
      </c>
      <c r="S37" s="44">
        <f t="shared" si="7"/>
        <v>3.7169312169312172</v>
      </c>
      <c r="T37" s="39">
        <v>65.94</v>
      </c>
      <c r="U37" s="5" t="s">
        <v>35</v>
      </c>
      <c r="V37" t="s">
        <v>110</v>
      </c>
      <c r="X37" t="s">
        <v>37</v>
      </c>
      <c r="Y37">
        <v>0</v>
      </c>
      <c r="Z37">
        <v>1</v>
      </c>
      <c r="AA37" s="6">
        <v>45597</v>
      </c>
      <c r="AC37" s="7" t="s">
        <v>43</v>
      </c>
      <c r="AD37" t="s">
        <v>35</v>
      </c>
    </row>
    <row r="38" spans="1:31" x14ac:dyDescent="0.25">
      <c r="A38" t="s">
        <v>39</v>
      </c>
      <c r="B38" t="s">
        <v>40</v>
      </c>
      <c r="C38" s="25">
        <v>44826</v>
      </c>
      <c r="D38" s="15">
        <v>1250000</v>
      </c>
      <c r="E38" t="s">
        <v>41</v>
      </c>
      <c r="F38" t="s">
        <v>34</v>
      </c>
      <c r="G38" s="15">
        <v>1250000</v>
      </c>
      <c r="H38" s="15">
        <v>498300</v>
      </c>
      <c r="I38" s="20">
        <f t="shared" si="4"/>
        <v>39.863999999999997</v>
      </c>
      <c r="J38" s="15">
        <v>996557</v>
      </c>
      <c r="K38" s="15">
        <f>G38-688557</f>
        <v>561443</v>
      </c>
      <c r="L38" s="15">
        <v>308000</v>
      </c>
      <c r="M38" s="30">
        <v>88</v>
      </c>
      <c r="N38" s="34">
        <v>114</v>
      </c>
      <c r="O38" s="39">
        <v>0.46</v>
      </c>
      <c r="P38" s="39">
        <v>0.23</v>
      </c>
      <c r="Q38" s="15">
        <f t="shared" si="5"/>
        <v>6380.034090909091</v>
      </c>
      <c r="R38" s="15">
        <f t="shared" si="6"/>
        <v>1220528.2608695652</v>
      </c>
      <c r="S38" s="44">
        <f t="shared" si="7"/>
        <v>28.01947339002675</v>
      </c>
      <c r="T38" s="39">
        <v>88</v>
      </c>
      <c r="U38" s="5" t="s">
        <v>35</v>
      </c>
      <c r="V38" t="s">
        <v>42</v>
      </c>
      <c r="X38" t="s">
        <v>37</v>
      </c>
      <c r="Y38">
        <v>0</v>
      </c>
      <c r="Z38">
        <v>1</v>
      </c>
      <c r="AA38" s="6">
        <v>45621</v>
      </c>
      <c r="AC38" s="7" t="s">
        <v>43</v>
      </c>
      <c r="AD38" t="s">
        <v>35</v>
      </c>
    </row>
    <row r="39" spans="1:31" x14ac:dyDescent="0.25">
      <c r="A39" t="s">
        <v>111</v>
      </c>
      <c r="B39" t="s">
        <v>112</v>
      </c>
      <c r="C39" s="25">
        <v>44848</v>
      </c>
      <c r="D39" s="15">
        <v>2100026</v>
      </c>
      <c r="E39" t="s">
        <v>33</v>
      </c>
      <c r="F39" t="s">
        <v>34</v>
      </c>
      <c r="G39" s="15">
        <v>2100026</v>
      </c>
      <c r="H39" s="15">
        <v>862900</v>
      </c>
      <c r="I39" s="20">
        <f t="shared" si="4"/>
        <v>41.089967457545761</v>
      </c>
      <c r="J39" s="15">
        <v>1725866</v>
      </c>
      <c r="K39" s="15">
        <f>G39-1077421</f>
        <v>1022605</v>
      </c>
      <c r="L39" s="15">
        <v>648445</v>
      </c>
      <c r="M39" s="30">
        <v>185.27</v>
      </c>
      <c r="N39" s="34">
        <v>101.59852600000001</v>
      </c>
      <c r="O39" s="39">
        <v>0.432</v>
      </c>
      <c r="P39" s="39">
        <v>0.432</v>
      </c>
      <c r="Q39" s="15">
        <f t="shared" si="5"/>
        <v>5519.5390511145888</v>
      </c>
      <c r="R39" s="15">
        <f t="shared" si="6"/>
        <v>2367141.2037037038</v>
      </c>
      <c r="S39" s="44">
        <f t="shared" si="7"/>
        <v>54.342084566200732</v>
      </c>
      <c r="T39" s="39">
        <v>185.27</v>
      </c>
      <c r="U39" s="5" t="s">
        <v>35</v>
      </c>
      <c r="V39" t="s">
        <v>113</v>
      </c>
      <c r="X39" t="s">
        <v>37</v>
      </c>
      <c r="Y39">
        <v>0</v>
      </c>
      <c r="Z39">
        <v>1</v>
      </c>
      <c r="AA39" s="6">
        <v>45597</v>
      </c>
      <c r="AC39" s="7" t="s">
        <v>43</v>
      </c>
      <c r="AD39" t="s">
        <v>35</v>
      </c>
      <c r="AE39" t="s">
        <v>35</v>
      </c>
    </row>
    <row r="40" spans="1:31" x14ac:dyDescent="0.25">
      <c r="A40" t="s">
        <v>39</v>
      </c>
      <c r="B40" t="s">
        <v>40</v>
      </c>
      <c r="C40" s="25">
        <v>44826</v>
      </c>
      <c r="D40" s="15">
        <v>1250000</v>
      </c>
      <c r="E40" t="s">
        <v>41</v>
      </c>
      <c r="F40" t="s">
        <v>34</v>
      </c>
      <c r="G40" s="15">
        <v>1250000</v>
      </c>
      <c r="H40" s="15">
        <v>498300</v>
      </c>
      <c r="I40" s="20">
        <f t="shared" si="4"/>
        <v>39.863999999999997</v>
      </c>
      <c r="J40" s="15">
        <v>996557</v>
      </c>
      <c r="K40" s="15">
        <f>G40-688557</f>
        <v>561443</v>
      </c>
      <c r="L40" s="15">
        <v>308000</v>
      </c>
      <c r="M40" s="30">
        <v>88</v>
      </c>
      <c r="N40" s="34">
        <v>114</v>
      </c>
      <c r="O40" s="39">
        <v>0.46</v>
      </c>
      <c r="P40" s="39">
        <v>0.23</v>
      </c>
      <c r="Q40" s="15">
        <f t="shared" si="5"/>
        <v>6380.034090909091</v>
      </c>
      <c r="R40" s="15">
        <f t="shared" si="6"/>
        <v>1220528.2608695652</v>
      </c>
      <c r="S40" s="44">
        <f t="shared" si="7"/>
        <v>28.01947339002675</v>
      </c>
      <c r="T40" s="39">
        <v>88</v>
      </c>
      <c r="U40" s="5" t="s">
        <v>35</v>
      </c>
      <c r="V40" t="s">
        <v>42</v>
      </c>
      <c r="X40" t="s">
        <v>37</v>
      </c>
      <c r="Y40">
        <v>0</v>
      </c>
      <c r="Z40">
        <v>1</v>
      </c>
      <c r="AA40" s="6">
        <v>45621</v>
      </c>
      <c r="AC40" s="7" t="s">
        <v>43</v>
      </c>
      <c r="AD40" t="s">
        <v>35</v>
      </c>
    </row>
    <row r="41" spans="1:31" x14ac:dyDescent="0.25">
      <c r="A41" t="s">
        <v>111</v>
      </c>
      <c r="B41" t="s">
        <v>112</v>
      </c>
      <c r="C41" s="25">
        <v>44848</v>
      </c>
      <c r="D41" s="15">
        <v>2100026</v>
      </c>
      <c r="E41" t="s">
        <v>33</v>
      </c>
      <c r="F41" t="s">
        <v>34</v>
      </c>
      <c r="G41" s="15">
        <v>2100026</v>
      </c>
      <c r="H41" s="15">
        <v>862900</v>
      </c>
      <c r="I41" s="20">
        <f t="shared" si="4"/>
        <v>41.089967457545761</v>
      </c>
      <c r="J41" s="15">
        <v>1725866</v>
      </c>
      <c r="K41" s="15">
        <f>G41-1077421</f>
        <v>1022605</v>
      </c>
      <c r="L41" s="15">
        <v>648445</v>
      </c>
      <c r="M41" s="30">
        <v>185.27</v>
      </c>
      <c r="N41" s="34">
        <v>101.59852600000001</v>
      </c>
      <c r="O41" s="39">
        <v>0.432</v>
      </c>
      <c r="P41" s="39">
        <v>0.432</v>
      </c>
      <c r="Q41" s="15">
        <f t="shared" si="5"/>
        <v>5519.5390511145888</v>
      </c>
      <c r="R41" s="15">
        <f t="shared" si="6"/>
        <v>2367141.2037037038</v>
      </c>
      <c r="S41" s="44">
        <f t="shared" si="7"/>
        <v>54.342084566200732</v>
      </c>
      <c r="T41" s="39">
        <v>185.27</v>
      </c>
      <c r="U41" s="5" t="s">
        <v>35</v>
      </c>
      <c r="V41" t="s">
        <v>113</v>
      </c>
      <c r="X41" t="s">
        <v>37</v>
      </c>
      <c r="Y41">
        <v>0</v>
      </c>
      <c r="Z41">
        <v>1</v>
      </c>
      <c r="AA41" s="6">
        <v>45597</v>
      </c>
      <c r="AC41" s="7" t="s">
        <v>43</v>
      </c>
      <c r="AD41" t="s">
        <v>35</v>
      </c>
      <c r="AE41" t="s">
        <v>35</v>
      </c>
    </row>
    <row r="42" spans="1:31" x14ac:dyDescent="0.25">
      <c r="A42" t="s">
        <v>85</v>
      </c>
      <c r="B42" t="s">
        <v>86</v>
      </c>
      <c r="C42" s="25">
        <v>45246</v>
      </c>
      <c r="D42" s="15">
        <v>325000</v>
      </c>
      <c r="E42" t="s">
        <v>33</v>
      </c>
      <c r="F42" t="s">
        <v>34</v>
      </c>
      <c r="G42" s="15">
        <v>325000</v>
      </c>
      <c r="H42" s="15">
        <v>116200</v>
      </c>
      <c r="I42" s="20">
        <f t="shared" si="4"/>
        <v>35.753846153846155</v>
      </c>
      <c r="J42" s="15">
        <v>232372</v>
      </c>
      <c r="K42" s="15">
        <f>G42-0</f>
        <v>325000</v>
      </c>
      <c r="L42" s="15">
        <v>231000</v>
      </c>
      <c r="M42" s="30">
        <v>66</v>
      </c>
      <c r="N42" s="34">
        <v>132</v>
      </c>
      <c r="O42" s="39">
        <v>0.2</v>
      </c>
      <c r="P42" s="39">
        <v>0.2</v>
      </c>
      <c r="Q42" s="15">
        <f t="shared" si="5"/>
        <v>4924.242424242424</v>
      </c>
      <c r="R42" s="15">
        <f t="shared" si="6"/>
        <v>1625000</v>
      </c>
      <c r="S42" s="44">
        <f t="shared" si="7"/>
        <v>37.304866850321396</v>
      </c>
      <c r="T42" s="39">
        <v>66</v>
      </c>
      <c r="U42" s="5" t="s">
        <v>35</v>
      </c>
      <c r="V42" t="s">
        <v>87</v>
      </c>
      <c r="X42" t="s">
        <v>37</v>
      </c>
      <c r="Y42">
        <v>0</v>
      </c>
      <c r="Z42">
        <v>1</v>
      </c>
      <c r="AA42" s="6">
        <v>45603</v>
      </c>
      <c r="AC42" s="7" t="s">
        <v>43</v>
      </c>
      <c r="AD42" t="s">
        <v>35</v>
      </c>
    </row>
    <row r="43" spans="1:31" x14ac:dyDescent="0.25">
      <c r="A43" t="s">
        <v>79</v>
      </c>
      <c r="B43" t="s">
        <v>80</v>
      </c>
      <c r="C43" s="25">
        <v>45061</v>
      </c>
      <c r="D43" s="15">
        <v>585000</v>
      </c>
      <c r="E43" t="s">
        <v>33</v>
      </c>
      <c r="F43" t="s">
        <v>34</v>
      </c>
      <c r="G43" s="15">
        <v>585000</v>
      </c>
      <c r="H43" s="15">
        <v>272900</v>
      </c>
      <c r="I43" s="20">
        <f t="shared" si="4"/>
        <v>46.649572649572654</v>
      </c>
      <c r="J43" s="15">
        <v>545757</v>
      </c>
      <c r="K43" s="15">
        <f>G43-314757</f>
        <v>270243</v>
      </c>
      <c r="L43" s="15">
        <v>231000</v>
      </c>
      <c r="M43" s="30">
        <v>66</v>
      </c>
      <c r="N43" s="34">
        <v>132</v>
      </c>
      <c r="O43" s="39">
        <v>0.2</v>
      </c>
      <c r="P43" s="39">
        <v>0.2</v>
      </c>
      <c r="Q43" s="15">
        <f t="shared" si="5"/>
        <v>4094.590909090909</v>
      </c>
      <c r="R43" s="15">
        <f t="shared" si="6"/>
        <v>1351215</v>
      </c>
      <c r="S43" s="44">
        <f t="shared" si="7"/>
        <v>31.019628099173552</v>
      </c>
      <c r="T43" s="39">
        <v>66</v>
      </c>
      <c r="U43" s="5" t="s">
        <v>35</v>
      </c>
      <c r="V43" t="s">
        <v>81</v>
      </c>
      <c r="X43" t="s">
        <v>37</v>
      </c>
      <c r="Y43">
        <v>0</v>
      </c>
      <c r="Z43">
        <v>1</v>
      </c>
      <c r="AA43" s="6">
        <v>45582</v>
      </c>
      <c r="AC43" s="7" t="s">
        <v>43</v>
      </c>
      <c r="AD43" t="s">
        <v>35</v>
      </c>
    </row>
    <row r="44" spans="1:31" x14ac:dyDescent="0.25">
      <c r="A44" t="s">
        <v>82</v>
      </c>
      <c r="B44" t="s">
        <v>83</v>
      </c>
      <c r="C44" s="25">
        <v>45120</v>
      </c>
      <c r="D44" s="15">
        <v>535000</v>
      </c>
      <c r="E44" t="s">
        <v>33</v>
      </c>
      <c r="F44" t="s">
        <v>34</v>
      </c>
      <c r="G44" s="15">
        <v>535000</v>
      </c>
      <c r="H44" s="15">
        <v>237500</v>
      </c>
      <c r="I44" s="20">
        <f t="shared" si="4"/>
        <v>44.392523364485982</v>
      </c>
      <c r="J44" s="15">
        <v>474945</v>
      </c>
      <c r="K44" s="15">
        <f>G44-243945</f>
        <v>291055</v>
      </c>
      <c r="L44" s="15">
        <v>231000</v>
      </c>
      <c r="M44" s="30">
        <v>66</v>
      </c>
      <c r="N44" s="34">
        <v>132</v>
      </c>
      <c r="O44" s="39">
        <v>0.2</v>
      </c>
      <c r="P44" s="39">
        <v>0.2</v>
      </c>
      <c r="Q44" s="15">
        <f t="shared" si="5"/>
        <v>4409.924242424242</v>
      </c>
      <c r="R44" s="15">
        <f t="shared" si="6"/>
        <v>1455275</v>
      </c>
      <c r="S44" s="44">
        <f t="shared" si="7"/>
        <v>33.408516988062445</v>
      </c>
      <c r="T44" s="39">
        <v>66</v>
      </c>
      <c r="U44" s="5" t="s">
        <v>35</v>
      </c>
      <c r="V44" t="s">
        <v>84</v>
      </c>
      <c r="X44" t="s">
        <v>37</v>
      </c>
      <c r="Y44">
        <v>0</v>
      </c>
      <c r="Z44">
        <v>1</v>
      </c>
      <c r="AA44" s="6">
        <v>45582</v>
      </c>
      <c r="AC44" s="7" t="s">
        <v>43</v>
      </c>
      <c r="AD44" t="s">
        <v>35</v>
      </c>
    </row>
  </sheetData>
  <mergeCells count="3">
    <mergeCell ref="A33:AE33"/>
    <mergeCell ref="A1:AE1"/>
    <mergeCell ref="K28:M28"/>
  </mergeCells>
  <conditionalFormatting sqref="A3:AE22 A34:AE44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3627-1452-4D66-B48D-F83734827A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2025-01-14T15:47:21Z</dcterms:created>
  <dcterms:modified xsi:type="dcterms:W3CDTF">2025-04-28T15:00:08Z</dcterms:modified>
</cp:coreProperties>
</file>