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2671CA1C-5A0F-48A5-A8E3-6103BA28DD60}" xr6:coauthVersionLast="47" xr6:coauthVersionMax="47" xr10:uidLastSave="{00000000-0000-0000-0000-000000000000}"/>
  <bookViews>
    <workbookView xWindow="28680" yWindow="-120" windowWidth="29040" windowHeight="15720" xr2:uid="{2F4E6F5A-29A8-4100-A8B0-E257EC80E804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K4" i="2"/>
  <c r="K5" i="2"/>
  <c r="Q4" i="2" l="1"/>
  <c r="R5" i="2"/>
  <c r="K21" i="2"/>
  <c r="S21" i="2" s="1"/>
  <c r="I21" i="2"/>
  <c r="I18" i="2"/>
  <c r="K18" i="2"/>
  <c r="Q18" i="2" s="1"/>
  <c r="I3" i="2"/>
  <c r="I19" i="2"/>
  <c r="K19" i="2"/>
  <c r="Q19" i="2" s="1"/>
  <c r="I4" i="2"/>
  <c r="I20" i="2"/>
  <c r="K20" i="2"/>
  <c r="Q20" i="2" s="1"/>
  <c r="I5" i="2"/>
  <c r="D6" i="2"/>
  <c r="G6" i="2"/>
  <c r="H6" i="2"/>
  <c r="J6" i="2"/>
  <c r="L6" i="2"/>
  <c r="M6" i="2"/>
  <c r="O6" i="2"/>
  <c r="P6" i="2"/>
  <c r="Q21" i="2" l="1"/>
  <c r="R21" i="2"/>
  <c r="S5" i="2"/>
  <c r="S4" i="2"/>
  <c r="R4" i="2"/>
  <c r="Q5" i="2"/>
  <c r="I7" i="2"/>
  <c r="K6" i="2"/>
  <c r="P8" i="2" s="1"/>
  <c r="S18" i="2"/>
  <c r="R18" i="2"/>
  <c r="R3" i="2"/>
  <c r="I8" i="2"/>
  <c r="S3" i="2"/>
  <c r="Q3" i="2"/>
  <c r="S20" i="2"/>
  <c r="R20" i="2"/>
  <c r="S19" i="2"/>
  <c r="R19" i="2"/>
  <c r="M8" i="2" l="1"/>
  <c r="S8" i="2"/>
</calcChain>
</file>

<file path=xl/sharedStrings.xml><?xml version="1.0" encoding="utf-8"?>
<sst xmlns="http://schemas.openxmlformats.org/spreadsheetml/2006/main" count="99" uniqueCount="69">
  <si>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</si>
  <si>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</si>
  <si>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</si>
  <si>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</si>
  <si>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</si>
  <si>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</si>
  <si>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</si>
  <si>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</si>
  <si>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</si>
  <si>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</si>
  <si>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</si>
  <si>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</si>
  <si>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</si>
  <si>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</si>
  <si>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</si>
  <si>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</si>
  <si>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</si>
  <si>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</si>
  <si>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</si>
  <si>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</si>
  <si>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</si>
  <si>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</si>
  <si>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</si>
  <si>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</si>
  <si>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</si>
  <si>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</si>
  <si>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</si>
  <si>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</si>
  <si>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57-170-004-00</t>
  </si>
  <si>
    <t>201 CULVER</t>
  </si>
  <si>
    <t>WD</t>
  </si>
  <si>
    <t>03-ARM'S LENGTH</t>
  </si>
  <si>
    <t>COMM</t>
  </si>
  <si>
    <t>4839/684</t>
  </si>
  <si>
    <t>DOWNTOWN COM</t>
  </si>
  <si>
    <t>207</t>
  </si>
  <si>
    <t>57-300-064-00</t>
  </si>
  <si>
    <t>439 BUTLER</t>
  </si>
  <si>
    <t>19-MULTI PARCEL ARM'S LENGTH</t>
  </si>
  <si>
    <t>4806/721</t>
  </si>
  <si>
    <t>57-300-065-00</t>
  </si>
  <si>
    <t>201</t>
  </si>
  <si>
    <t>57-300-109-00</t>
  </si>
  <si>
    <t>314 BUTLER</t>
  </si>
  <si>
    <t>4910/135</t>
  </si>
  <si>
    <t>57-300-167-00</t>
  </si>
  <si>
    <t>149 GRIFFITH</t>
  </si>
  <si>
    <t>4842/889</t>
  </si>
  <si>
    <t>57-300-184-00</t>
  </si>
  <si>
    <t>120 BUTLER</t>
  </si>
  <si>
    <t>4879/469</t>
  </si>
  <si>
    <t>57-300-192-00</t>
  </si>
  <si>
    <t>246 CULVER</t>
  </si>
  <si>
    <t>4862/756</t>
  </si>
  <si>
    <t>57-810-008-01</t>
  </si>
  <si>
    <t>220 CULVER</t>
  </si>
  <si>
    <t>4910/154</t>
  </si>
  <si>
    <t>57-810-007-01</t>
  </si>
  <si>
    <t>Totals:</t>
  </si>
  <si>
    <t>Sale. Ratio =&gt;</t>
  </si>
  <si>
    <t>Average</t>
  </si>
  <si>
    <t>Std. Dev. =&gt;</t>
  </si>
  <si>
    <t>per FF=&gt;</t>
  </si>
  <si>
    <t>per SqFt=&gt;</t>
  </si>
  <si>
    <t>Net SF Site</t>
  </si>
  <si>
    <t>Do Not Use</t>
  </si>
  <si>
    <t>Commercial Downtown (COMDT) Land Value</t>
  </si>
  <si>
    <t>per SF=&gt;</t>
  </si>
  <si>
    <t>Concluded SF Rate = $37.65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</si>
</sst>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40" fontId="2" fillId="6" borderId="2" xfId="0" applyNumberFormat="1" applyFont="1" applyFill="1" applyBorder="1"/>
    <xf numFmtId="0" fontId="3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0" fontId="3" fillId="6" borderId="0" xfId="0" applyNumberFormat="1" applyFont="1" applyFill="1" applyAlignment="1">
      <alignment horizontal="center"/>
    </xf>
  </cellXfs>
  <cellStyles count="1">
    <cellStyle name="Normal" xfId="0" builtinId="0"/>
  </cellStyles>
  <dxfs count="4"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4F38-400B-4FE4-B965-2BEA97FC1617}">
  <dimension ref="A1:AW21"/>
  <sheetViews>
    <sheetView tabSelected="1" workbookViewId="0">
      <selection activeCell="K11" sqref="K11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285156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</cols>
  <sheetData>
    <row r="1" spans="1:49" x14ac:dyDescent="0.25">
      <c r="A1" s="50" t="s">
        <v>66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49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64</v>
      </c>
      <c r="P2" s="38" t="s">
        <v>14</v>
      </c>
      <c r="Q2" s="14" t="s">
        <v>15</v>
      </c>
      <c r="R2" s="14" t="s">
        <v>16</v>
      </c>
      <c r="S2" s="43" t="s">
        <v>17</v>
      </c>
      <c r="T2" s="38" t="s">
        <v>18</v>
      </c>
      <c r="U2" s="3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5">
      <c r="A3" t="s">
        <v>36</v>
      </c>
      <c r="B3" t="s">
        <v>37</v>
      </c>
      <c r="C3" s="25">
        <v>44832</v>
      </c>
      <c r="D3" s="15">
        <v>1900000</v>
      </c>
      <c r="E3" t="s">
        <v>30</v>
      </c>
      <c r="F3" t="s">
        <v>38</v>
      </c>
      <c r="G3" s="15">
        <v>1875000</v>
      </c>
      <c r="H3" s="15">
        <v>955800</v>
      </c>
      <c r="I3" s="20">
        <f t="shared" ref="I3:I5" si="0">H3/G3*100</f>
        <v>50.975999999999999</v>
      </c>
      <c r="J3" s="15">
        <v>2581671</v>
      </c>
      <c r="K3" s="15">
        <f>G3-978971*(1.39925)</f>
        <v>505174.82824999979</v>
      </c>
      <c r="L3" s="15">
        <v>932485</v>
      </c>
      <c r="M3" s="30">
        <v>137</v>
      </c>
      <c r="N3" s="34">
        <v>225.14018999999999</v>
      </c>
      <c r="O3" s="39">
        <v>9966.0910000000003</v>
      </c>
      <c r="P3" s="39">
        <v>9.0999999999999998E-2</v>
      </c>
      <c r="Q3" s="15">
        <f t="shared" ref="Q3:Q5" si="1">K3/M3</f>
        <v>3687.4075054744512</v>
      </c>
      <c r="R3" s="15">
        <f t="shared" ref="R3:R5" si="2">K3/O3</f>
        <v>50.68936539411488</v>
      </c>
      <c r="S3" s="44">
        <f t="shared" ref="S3:S5" si="3">K3/O3/43560</f>
        <v>1.1636677087721505E-3</v>
      </c>
      <c r="T3" s="39">
        <v>137</v>
      </c>
      <c r="U3" s="5" t="s">
        <v>32</v>
      </c>
      <c r="V3" t="s">
        <v>39</v>
      </c>
      <c r="W3" t="s">
        <v>40</v>
      </c>
      <c r="X3" t="s">
        <v>34</v>
      </c>
      <c r="Y3">
        <v>0</v>
      </c>
      <c r="Z3">
        <v>1</v>
      </c>
      <c r="AA3" s="6">
        <v>45244</v>
      </c>
      <c r="AC3" s="7" t="s">
        <v>41</v>
      </c>
    </row>
    <row r="4" spans="1:49" x14ac:dyDescent="0.25">
      <c r="A4" t="s">
        <v>45</v>
      </c>
      <c r="B4" t="s">
        <v>46</v>
      </c>
      <c r="C4" s="25">
        <v>44995</v>
      </c>
      <c r="D4" s="15">
        <v>720000</v>
      </c>
      <c r="E4" t="s">
        <v>30</v>
      </c>
      <c r="F4" t="s">
        <v>31</v>
      </c>
      <c r="G4" s="15">
        <v>720000</v>
      </c>
      <c r="H4" s="15">
        <v>416100</v>
      </c>
      <c r="I4" s="20">
        <f t="shared" si="0"/>
        <v>57.791666666666664</v>
      </c>
      <c r="J4" s="15">
        <v>832110</v>
      </c>
      <c r="K4" s="15">
        <f>G4-248754*(1.51)</f>
        <v>344381.46</v>
      </c>
      <c r="L4" s="15">
        <v>583356</v>
      </c>
      <c r="M4" s="30">
        <v>66</v>
      </c>
      <c r="N4" s="34">
        <v>132</v>
      </c>
      <c r="O4" s="39">
        <v>8712</v>
      </c>
      <c r="P4" s="39">
        <v>0.2</v>
      </c>
      <c r="Q4" s="15">
        <f t="shared" si="1"/>
        <v>5217.9009090909094</v>
      </c>
      <c r="R4" s="15">
        <f t="shared" si="2"/>
        <v>39.5295523415978</v>
      </c>
      <c r="S4" s="44">
        <f t="shared" si="3"/>
        <v>9.0747365338837921E-4</v>
      </c>
      <c r="T4" s="39">
        <v>66</v>
      </c>
      <c r="U4" s="5" t="s">
        <v>32</v>
      </c>
      <c r="V4" t="s">
        <v>47</v>
      </c>
      <c r="X4" t="s">
        <v>34</v>
      </c>
      <c r="Y4">
        <v>0</v>
      </c>
      <c r="Z4">
        <v>1</v>
      </c>
      <c r="AA4" s="6">
        <v>45645</v>
      </c>
      <c r="AC4" s="7" t="s">
        <v>41</v>
      </c>
    </row>
    <row r="5" spans="1:49" ht="15.75" thickBot="1" x14ac:dyDescent="0.3">
      <c r="A5" t="s">
        <v>51</v>
      </c>
      <c r="B5" t="s">
        <v>52</v>
      </c>
      <c r="C5" s="25">
        <v>45109</v>
      </c>
      <c r="D5" s="15">
        <v>1680000</v>
      </c>
      <c r="E5" t="s">
        <v>30</v>
      </c>
      <c r="F5" t="s">
        <v>31</v>
      </c>
      <c r="G5" s="15">
        <v>1580000</v>
      </c>
      <c r="H5" s="15">
        <v>812100</v>
      </c>
      <c r="I5" s="20">
        <f t="shared" si="0"/>
        <v>51.398734177215189</v>
      </c>
      <c r="J5" s="15">
        <v>1624247</v>
      </c>
      <c r="K5" s="15">
        <f>G5-1101959*(1.3)</f>
        <v>147453.30000000005</v>
      </c>
      <c r="L5" s="15">
        <v>522288</v>
      </c>
      <c r="M5" s="30">
        <v>65</v>
      </c>
      <c r="N5" s="34">
        <v>120</v>
      </c>
      <c r="O5" s="39">
        <v>7800</v>
      </c>
      <c r="P5" s="39">
        <v>0.17899999999999999</v>
      </c>
      <c r="Q5" s="15">
        <f t="shared" si="1"/>
        <v>2268.5123076923082</v>
      </c>
      <c r="R5" s="15">
        <f t="shared" si="2"/>
        <v>18.904269230769238</v>
      </c>
      <c r="S5" s="44">
        <f t="shared" si="3"/>
        <v>4.3398230557321481E-4</v>
      </c>
      <c r="T5" s="39">
        <v>65</v>
      </c>
      <c r="U5" s="5" t="s">
        <v>32</v>
      </c>
      <c r="V5" t="s">
        <v>53</v>
      </c>
      <c r="X5" t="s">
        <v>34</v>
      </c>
      <c r="Y5">
        <v>0</v>
      </c>
      <c r="Z5">
        <v>0</v>
      </c>
      <c r="AA5" s="6">
        <v>45645</v>
      </c>
      <c r="AC5" s="7" t="s">
        <v>41</v>
      </c>
    </row>
    <row r="6" spans="1:49" ht="15.75" thickTop="1" x14ac:dyDescent="0.25">
      <c r="A6" s="8"/>
      <c r="B6" s="8"/>
      <c r="C6" s="26" t="s">
        <v>58</v>
      </c>
      <c r="D6" s="16">
        <f>+SUM(D3:D5)</f>
        <v>4300000</v>
      </c>
      <c r="E6" s="8"/>
      <c r="F6" s="8"/>
      <c r="G6" s="16">
        <f>+SUM(G3:G5)</f>
        <v>4175000</v>
      </c>
      <c r="H6" s="16">
        <f>+SUM(H3:H5)</f>
        <v>2184000</v>
      </c>
      <c r="I6" s="21"/>
      <c r="J6" s="16">
        <f>+SUM(J3:J5)</f>
        <v>5038028</v>
      </c>
      <c r="K6" s="16">
        <f>+SUM(K3:K5)</f>
        <v>997009.5882499998</v>
      </c>
      <c r="L6" s="16">
        <f>+SUM(L3:L5)</f>
        <v>2038129</v>
      </c>
      <c r="M6" s="31">
        <f>+SUM(M3:M5)</f>
        <v>268</v>
      </c>
      <c r="N6" s="35"/>
      <c r="O6" s="40">
        <f>+SUM(O3:O5)</f>
        <v>26478.091</v>
      </c>
      <c r="P6" s="40">
        <f>+SUM(P3:P5)</f>
        <v>0.47000000000000003</v>
      </c>
      <c r="Q6" s="16"/>
      <c r="R6" s="16"/>
      <c r="S6" s="45"/>
      <c r="T6" s="40"/>
      <c r="U6" s="9"/>
      <c r="V6" s="8"/>
      <c r="W6" s="8"/>
      <c r="X6" s="8"/>
      <c r="Y6" s="8"/>
      <c r="Z6" s="8"/>
      <c r="AA6" s="8"/>
      <c r="AB6" s="8"/>
      <c r="AC6" s="8"/>
    </row>
    <row r="7" spans="1:49" x14ac:dyDescent="0.25">
      <c r="A7" s="10"/>
      <c r="B7" s="10"/>
      <c r="C7" s="27"/>
      <c r="D7" s="17"/>
      <c r="E7" s="10"/>
      <c r="F7" s="10"/>
      <c r="G7" s="17"/>
      <c r="H7" s="17" t="s">
        <v>59</v>
      </c>
      <c r="I7" s="22">
        <f>H6/G6*100</f>
        <v>52.311377245508986</v>
      </c>
      <c r="J7" s="17"/>
      <c r="K7" s="17"/>
      <c r="L7" s="17" t="s">
        <v>60</v>
      </c>
      <c r="M7" s="32"/>
      <c r="N7" s="36"/>
      <c r="O7" s="41" t="s">
        <v>60</v>
      </c>
      <c r="P7" s="41"/>
      <c r="Q7" s="17"/>
      <c r="R7" s="17" t="s">
        <v>60</v>
      </c>
      <c r="S7" s="46"/>
      <c r="T7" s="41"/>
      <c r="U7" s="11"/>
      <c r="V7" s="10"/>
      <c r="W7" s="10"/>
      <c r="X7" s="10"/>
      <c r="Y7" s="10"/>
      <c r="Z7" s="10"/>
      <c r="AA7" s="10"/>
      <c r="AB7" s="10"/>
      <c r="AC7" s="10"/>
    </row>
    <row r="8" spans="1:49" x14ac:dyDescent="0.25">
      <c r="A8" s="12"/>
      <c r="B8" s="12"/>
      <c r="C8" s="28"/>
      <c r="D8" s="18"/>
      <c r="E8" s="12"/>
      <c r="F8" s="12"/>
      <c r="G8" s="18"/>
      <c r="H8" s="18" t="s">
        <v>61</v>
      </c>
      <c r="I8" s="23">
        <f>STDEV(I3:I5)</f>
        <v>3.8188480398845654</v>
      </c>
      <c r="J8" s="18"/>
      <c r="K8" s="18"/>
      <c r="L8" s="18" t="s">
        <v>62</v>
      </c>
      <c r="M8" s="48">
        <f>K6/M6</f>
        <v>3720.1850307835812</v>
      </c>
      <c r="N8" s="37"/>
      <c r="O8" s="42" t="s">
        <v>67</v>
      </c>
      <c r="P8" s="49">
        <f>K6/O6</f>
        <v>37.65413406313921</v>
      </c>
      <c r="Q8" s="18"/>
      <c r="R8" s="18" t="s">
        <v>63</v>
      </c>
      <c r="S8" s="47">
        <f>K6/O6/43560</f>
        <v>8.6441997390126742E-4</v>
      </c>
      <c r="T8" s="42"/>
      <c r="U8" s="13"/>
      <c r="V8" s="12"/>
      <c r="W8" s="12"/>
      <c r="X8" s="12"/>
      <c r="Y8" s="12"/>
      <c r="Z8" s="12"/>
      <c r="AA8" s="12"/>
      <c r="AB8" s="12"/>
      <c r="AC8" s="12"/>
    </row>
    <row r="12" spans="1:49" x14ac:dyDescent="0.25">
      <c r="O12" s="52" t="s">
        <v>68</v>
      </c>
      <c r="P12" s="52"/>
    </row>
    <row r="17" spans="1:42" x14ac:dyDescent="0.25">
      <c r="A17" s="51" t="s">
        <v>65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</row>
    <row r="18" spans="1:42" x14ac:dyDescent="0.25">
      <c r="A18" t="s">
        <v>28</v>
      </c>
      <c r="B18" t="s">
        <v>29</v>
      </c>
      <c r="C18" s="25">
        <v>44984</v>
      </c>
      <c r="D18" s="15">
        <v>211000</v>
      </c>
      <c r="E18" t="s">
        <v>30</v>
      </c>
      <c r="F18" t="s">
        <v>31</v>
      </c>
      <c r="G18" s="15">
        <v>211000</v>
      </c>
      <c r="H18" s="15">
        <v>45600</v>
      </c>
      <c r="I18" s="20">
        <f>H18/G18*100</f>
        <v>21.611374407582939</v>
      </c>
      <c r="J18" s="15">
        <v>97640</v>
      </c>
      <c r="K18" s="15">
        <f>G18-77864</f>
        <v>133136</v>
      </c>
      <c r="L18" s="15">
        <v>19776</v>
      </c>
      <c r="M18" s="30">
        <v>66</v>
      </c>
      <c r="N18" s="34">
        <v>66</v>
      </c>
      <c r="O18" s="39">
        <v>295</v>
      </c>
      <c r="P18" s="39">
        <v>7.0000000000000001E-3</v>
      </c>
      <c r="Q18" s="15">
        <f>K18/M18</f>
        <v>2017.2121212121212</v>
      </c>
      <c r="R18" s="15">
        <f>K18/O18</f>
        <v>451.30847457627118</v>
      </c>
      <c r="S18" s="44">
        <f>K18/O18/43560</f>
        <v>1.0360616955378127E-2</v>
      </c>
      <c r="T18" s="39">
        <v>66</v>
      </c>
      <c r="U18" s="5" t="s">
        <v>32</v>
      </c>
      <c r="V18" t="s">
        <v>33</v>
      </c>
      <c r="X18" t="s">
        <v>34</v>
      </c>
      <c r="Y18">
        <v>0</v>
      </c>
      <c r="Z18">
        <v>0</v>
      </c>
      <c r="AA18" s="6">
        <v>44902</v>
      </c>
      <c r="AC18" s="7" t="s">
        <v>35</v>
      </c>
      <c r="AN18" s="2"/>
      <c r="AP18" s="2"/>
    </row>
    <row r="19" spans="1:42" x14ac:dyDescent="0.25">
      <c r="A19" t="s">
        <v>42</v>
      </c>
      <c r="B19" t="s">
        <v>43</v>
      </c>
      <c r="C19" s="25">
        <v>45268</v>
      </c>
      <c r="D19" s="15">
        <v>500000</v>
      </c>
      <c r="E19" t="s">
        <v>30</v>
      </c>
      <c r="F19" t="s">
        <v>31</v>
      </c>
      <c r="G19" s="15">
        <v>500000</v>
      </c>
      <c r="H19" s="15">
        <v>118200</v>
      </c>
      <c r="I19" s="20">
        <f>H19/G19*100</f>
        <v>23.64</v>
      </c>
      <c r="J19" s="15">
        <v>236340</v>
      </c>
      <c r="K19" s="15">
        <f>G19-170050</f>
        <v>329950</v>
      </c>
      <c r="L19" s="15">
        <v>66290</v>
      </c>
      <c r="M19" s="30">
        <v>15</v>
      </c>
      <c r="N19" s="34">
        <v>66</v>
      </c>
      <c r="O19" s="39">
        <v>990</v>
      </c>
      <c r="P19" s="39">
        <v>2.3E-2</v>
      </c>
      <c r="Q19" s="15">
        <f>K19/M19</f>
        <v>21996.666666666668</v>
      </c>
      <c r="R19" s="15">
        <f>K19/O19</f>
        <v>333.28282828282829</v>
      </c>
      <c r="S19" s="44">
        <f>K19/O19/43560</f>
        <v>7.6511209431319623E-3</v>
      </c>
      <c r="T19" s="39">
        <v>15</v>
      </c>
      <c r="U19" s="5" t="s">
        <v>32</v>
      </c>
      <c r="V19" t="s">
        <v>44</v>
      </c>
      <c r="X19" t="s">
        <v>34</v>
      </c>
      <c r="Y19">
        <v>0</v>
      </c>
      <c r="Z19">
        <v>1</v>
      </c>
      <c r="AA19" s="6">
        <v>44903</v>
      </c>
      <c r="AC19" s="7" t="s">
        <v>41</v>
      </c>
    </row>
    <row r="20" spans="1:42" x14ac:dyDescent="0.25">
      <c r="A20" t="s">
        <v>48</v>
      </c>
      <c r="B20" t="s">
        <v>49</v>
      </c>
      <c r="C20" s="25">
        <v>45153</v>
      </c>
      <c r="D20" s="15">
        <v>499900</v>
      </c>
      <c r="E20" t="s">
        <v>30</v>
      </c>
      <c r="F20" t="s">
        <v>31</v>
      </c>
      <c r="G20" s="15">
        <v>499900</v>
      </c>
      <c r="H20" s="15">
        <v>124000</v>
      </c>
      <c r="I20" s="20">
        <f>H20/G20*100</f>
        <v>24.804960992198442</v>
      </c>
      <c r="J20" s="15">
        <v>247971</v>
      </c>
      <c r="K20" s="15">
        <f>G20-124229</f>
        <v>375671</v>
      </c>
      <c r="L20" s="15">
        <v>123742</v>
      </c>
      <c r="M20" s="30">
        <v>28</v>
      </c>
      <c r="N20" s="34">
        <v>66</v>
      </c>
      <c r="O20" s="39">
        <v>1848</v>
      </c>
      <c r="P20" s="39">
        <v>4.2000000000000003E-2</v>
      </c>
      <c r="Q20" s="15">
        <f>K20/M20</f>
        <v>13416.821428571429</v>
      </c>
      <c r="R20" s="15">
        <f>K20/O20</f>
        <v>203.28517316017317</v>
      </c>
      <c r="S20" s="44">
        <f>K20/O20/43560</f>
        <v>4.6667854260829473E-3</v>
      </c>
      <c r="T20" s="39">
        <v>28</v>
      </c>
      <c r="U20" s="5" t="s">
        <v>32</v>
      </c>
      <c r="V20" t="s">
        <v>50</v>
      </c>
      <c r="X20" t="s">
        <v>34</v>
      </c>
      <c r="Y20">
        <v>0</v>
      </c>
      <c r="Z20">
        <v>1</v>
      </c>
      <c r="AA20" s="6">
        <v>45645</v>
      </c>
      <c r="AC20" s="7" t="s">
        <v>41</v>
      </c>
    </row>
    <row r="21" spans="1:42" x14ac:dyDescent="0.25">
      <c r="A21" t="s">
        <v>54</v>
      </c>
      <c r="B21" t="s">
        <v>55</v>
      </c>
      <c r="C21" s="25">
        <v>45274</v>
      </c>
      <c r="D21" s="15">
        <v>725000</v>
      </c>
      <c r="E21" t="s">
        <v>30</v>
      </c>
      <c r="F21" t="s">
        <v>38</v>
      </c>
      <c r="G21" s="15">
        <v>725000</v>
      </c>
      <c r="H21" s="15">
        <v>218000</v>
      </c>
      <c r="I21" s="20">
        <f t="shared" ref="I21" si="4">H21/G21*100</f>
        <v>30.068965517241381</v>
      </c>
      <c r="J21" s="15">
        <v>552283</v>
      </c>
      <c r="K21" s="15">
        <f>G21-252102</f>
        <v>472898</v>
      </c>
      <c r="L21" s="15">
        <v>183738</v>
      </c>
      <c r="M21" s="30">
        <v>140</v>
      </c>
      <c r="N21" s="34">
        <v>206</v>
      </c>
      <c r="O21" s="39">
        <v>2744</v>
      </c>
      <c r="P21" s="39">
        <v>2.3E-2</v>
      </c>
      <c r="Q21" s="15">
        <f t="shared" ref="Q21" si="5">K21/M21</f>
        <v>3377.8428571428572</v>
      </c>
      <c r="R21" s="15">
        <f t="shared" ref="R21" si="6">K21/O21</f>
        <v>172.33892128279882</v>
      </c>
      <c r="S21" s="44">
        <f t="shared" ref="S21" si="7">K21/O21/43560</f>
        <v>3.9563572378971262E-3</v>
      </c>
      <c r="T21" s="39">
        <v>140</v>
      </c>
      <c r="U21" s="5" t="s">
        <v>32</v>
      </c>
      <c r="V21" t="s">
        <v>56</v>
      </c>
      <c r="W21" t="s">
        <v>57</v>
      </c>
      <c r="X21" t="s">
        <v>34</v>
      </c>
      <c r="Y21">
        <v>0</v>
      </c>
      <c r="Z21">
        <v>0</v>
      </c>
      <c r="AA21" s="6">
        <v>44902</v>
      </c>
      <c r="AC21" s="7" t="s">
        <v>35</v>
      </c>
    </row>
  </sheetData>
  <mergeCells count="3">
    <mergeCell ref="A1:AC1"/>
    <mergeCell ref="A17:AC17"/>
    <mergeCell ref="O12:P12"/>
  </mergeCells>
  <conditionalFormatting sqref="A3:AC5 A18:AC21">
    <cfRule type="expression" dxfId="3" priority="4" stopIfTrue="1">
      <formula>MOD(ROW(),4)&lt;2</formula>
    </cfRule>
  </conditionalFormatting>
  <conditionalFormatting sqref="A18:AC20">
    <cfRule type="expression" dxfId="2" priority="1" stopIfTrue="1">
      <formula>MOD(ROW(),4)&gt;1</formula>
    </cfRule>
    <cfRule type="expression" dxfId="1" priority="2" stopIfTrue="1">
      <formula>MOD(ROW(),4)&lt;2</formula>
    </cfRule>
  </conditionalFormatting>
  <conditionalFormatting sqref="A3:AC5 A18:AC21">
    <cfRule type="expression" dxfId="0" priority="3" stopIfTrue="1">
      <formula>MOD(ROW(),4)&gt;1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82EE-5948-4017-9F5D-A66141D0426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2025-01-14T15:38:38Z</dcterms:created>
  <dcterms:modified xsi:type="dcterms:W3CDTF">2025-01-24T15:52:21Z</dcterms:modified>
</cp:coreProperties>
</file>